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5495" windowHeight="8190" activeTab="3"/>
  </bookViews>
  <sheets>
    <sheet name="Major Front" sheetId="1" r:id="rId1"/>
    <sheet name="Minor Front" sheetId="2" r:id="rId2"/>
    <sheet name="Major Minerals" sheetId="3" r:id="rId3"/>
    <sheet name="Minor Minerals" sheetId="4" r:id="rId4"/>
    <sheet name="Office Major" sheetId="5" r:id="rId5"/>
    <sheet name="Office Minor" sheetId="6" r:id="rId6"/>
    <sheet name="Distt.Major" sheetId="7" r:id="rId7"/>
    <sheet name="Distt.Minor" sheetId="8" r:id="rId8"/>
    <sheet name="Distt. Major Minerals" sheetId="13" r:id="rId9"/>
    <sheet name="Distt. Minor Minerals" sheetId="14" r:id="rId10"/>
    <sheet name="Categorywise" sheetId="9" r:id="rId11"/>
    <sheet name="Cerclewise  ML QL" sheetId="10" r:id="rId12"/>
    <sheet name="Distt. Lease" sheetId="11" r:id="rId13"/>
    <sheet name="Revenue Major Minor" sheetId="12" r:id="rId14"/>
    <sheet name="QL" sheetId="15" r:id="rId15"/>
    <sheet name="8A" sheetId="16" r:id="rId16"/>
    <sheet name="ML QL STP WO" sheetId="18" r:id="rId17"/>
    <sheet name="Sheet1" sheetId="19" r:id="rId18"/>
    <sheet name="Sheet2" sheetId="20" r:id="rId19"/>
    <sheet name="Sheet3" sheetId="21" r:id="rId20"/>
    <sheet name="Sheet4" sheetId="22" r:id="rId21"/>
  </sheets>
  <definedNames>
    <definedName name="_xlnm._FilterDatabase" localSheetId="15" hidden="1">'8A'!$H$1:$H$54</definedName>
    <definedName name="_xlnm._FilterDatabase" localSheetId="6" hidden="1">Distt.Major!$B$1:$B$229</definedName>
    <definedName name="_xlnm._FilterDatabase" localSheetId="5" hidden="1">'Office Minor'!$A$6:$H$20</definedName>
    <definedName name="_xlnm.Print_Area" localSheetId="11">'Cerclewise  ML QL'!$A$1:$E$75</definedName>
    <definedName name="_xlnm.Print_Area" localSheetId="9">'Distt. Minor Minerals'!$A$1:$H$683</definedName>
    <definedName name="_xlnm.Print_Area" localSheetId="6">Distt.Major!$A$1:$H$223</definedName>
    <definedName name="_xlnm.Print_Area" localSheetId="7">Distt.Minor!$A$1:$H$634</definedName>
    <definedName name="_xlnm.Print_Area" localSheetId="0">'Major Front'!$A$1:$H$32</definedName>
    <definedName name="_xlnm.Print_Area" localSheetId="2">'Major Minerals'!$A$1:$J$250</definedName>
    <definedName name="_xlnm.Print_Area" localSheetId="1">'Minor Front'!$A$1:$H$46</definedName>
    <definedName name="_xlnm.Print_Area" localSheetId="3">'Minor Minerals'!$A$1:$H$805</definedName>
    <definedName name="_xlnm.Print_Area" localSheetId="4">'Office Major'!$A$1:$H$271</definedName>
    <definedName name="_xlnm.Print_Area" localSheetId="5">'Office Minor'!$A$1:$H$870</definedName>
  </definedNames>
  <calcPr calcId="145621"/>
</workbook>
</file>

<file path=xl/calcChain.xml><?xml version="1.0" encoding="utf-8"?>
<calcChain xmlns="http://schemas.openxmlformats.org/spreadsheetml/2006/main">
  <c r="G73" i="18" l="1"/>
  <c r="E73" i="22"/>
  <c r="D73" i="22"/>
  <c r="C73" i="22"/>
  <c r="C65" i="22"/>
  <c r="E65" i="22"/>
  <c r="D65" i="22"/>
  <c r="E60" i="22"/>
  <c r="D60" i="22"/>
  <c r="C60" i="22"/>
  <c r="C54" i="22"/>
  <c r="E54" i="22"/>
  <c r="D54" i="22"/>
  <c r="D46" i="22"/>
  <c r="E46" i="22"/>
  <c r="C46" i="22"/>
  <c r="D38" i="22"/>
  <c r="E38" i="22"/>
  <c r="C38" i="22"/>
  <c r="E28" i="22"/>
  <c r="D28" i="22"/>
  <c r="C28" i="22"/>
  <c r="C21" i="22"/>
  <c r="E21" i="22"/>
  <c r="D21" i="22"/>
  <c r="C14" i="22"/>
  <c r="E14" i="22"/>
  <c r="D14" i="22"/>
  <c r="F123" i="5"/>
  <c r="D75" i="22" l="1"/>
  <c r="C75" i="22"/>
  <c r="E75" i="22"/>
  <c r="F557" i="6"/>
  <c r="F248" i="6" l="1"/>
  <c r="F8" i="5"/>
  <c r="I370" i="6" l="1"/>
  <c r="I371" i="6"/>
  <c r="I146" i="6"/>
  <c r="I353" i="6"/>
  <c r="K353" i="6"/>
  <c r="F252" i="6"/>
  <c r="K12" i="4"/>
  <c r="K13" i="4"/>
  <c r="K14" i="4"/>
  <c r="K15" i="4"/>
  <c r="K19" i="4"/>
  <c r="K20" i="4"/>
  <c r="K21" i="4"/>
  <c r="K22" i="4"/>
  <c r="K27" i="4"/>
  <c r="K28" i="4"/>
  <c r="K29" i="4"/>
  <c r="K30" i="4"/>
  <c r="K57" i="4"/>
  <c r="K58" i="4"/>
  <c r="K59" i="4"/>
  <c r="K60" i="4"/>
  <c r="K71" i="4"/>
  <c r="K72" i="4"/>
  <c r="K73" i="4"/>
  <c r="K74" i="4"/>
  <c r="K91" i="4"/>
  <c r="K92" i="4"/>
  <c r="K93" i="4"/>
  <c r="K94" i="4"/>
  <c r="K98" i="4"/>
  <c r="K99" i="4"/>
  <c r="K100" i="4"/>
  <c r="K101" i="4"/>
  <c r="K105" i="4"/>
  <c r="K106" i="4"/>
  <c r="K107" i="4"/>
  <c r="K108" i="4"/>
  <c r="K119" i="4"/>
  <c r="K120" i="4"/>
  <c r="K121" i="4"/>
  <c r="K122" i="4"/>
  <c r="K123" i="4"/>
  <c r="K140" i="4"/>
  <c r="K141" i="4"/>
  <c r="K142" i="4"/>
  <c r="K143" i="4"/>
  <c r="K147" i="4"/>
  <c r="K148" i="4"/>
  <c r="K149" i="4"/>
  <c r="K150" i="4"/>
  <c r="K158" i="4"/>
  <c r="K159" i="4"/>
  <c r="K160" i="4"/>
  <c r="K161" i="4"/>
  <c r="K162" i="4"/>
  <c r="K164" i="4"/>
  <c r="K166" i="4"/>
  <c r="K167" i="4"/>
  <c r="K168" i="4"/>
  <c r="K169" i="4"/>
  <c r="K170" i="4"/>
  <c r="K200" i="4"/>
  <c r="K201" i="4"/>
  <c r="K202" i="4"/>
  <c r="K203" i="4"/>
  <c r="K214" i="4"/>
  <c r="K215" i="4"/>
  <c r="K216" i="4"/>
  <c r="K217" i="4"/>
  <c r="K221" i="4"/>
  <c r="K222" i="4"/>
  <c r="K223" i="4"/>
  <c r="K224" i="4"/>
  <c r="K268" i="4"/>
  <c r="K269" i="4"/>
  <c r="K270" i="4"/>
  <c r="K271" i="4"/>
  <c r="K272" i="4"/>
  <c r="K294" i="4"/>
  <c r="K295" i="4"/>
  <c r="K296" i="4"/>
  <c r="K297" i="4"/>
  <c r="K307" i="4"/>
  <c r="K308" i="4"/>
  <c r="K309" i="4"/>
  <c r="K310" i="4"/>
  <c r="K340" i="4"/>
  <c r="K341" i="4"/>
  <c r="K342" i="4"/>
  <c r="K343" i="4"/>
  <c r="K391" i="4"/>
  <c r="K392" i="4"/>
  <c r="K393" i="4"/>
  <c r="K394" i="4"/>
  <c r="K402" i="4"/>
  <c r="K403" i="4"/>
  <c r="K404" i="4"/>
  <c r="K405" i="4"/>
  <c r="K409" i="4"/>
  <c r="K410" i="4"/>
  <c r="K411" i="4"/>
  <c r="K412" i="4"/>
  <c r="K436" i="4"/>
  <c r="K437" i="4"/>
  <c r="K438" i="4"/>
  <c r="K439" i="4"/>
  <c r="K453" i="4"/>
  <c r="K454" i="4"/>
  <c r="K455" i="4"/>
  <c r="K456" i="4"/>
  <c r="K471" i="4"/>
  <c r="K472" i="4"/>
  <c r="K473" i="4"/>
  <c r="K474" i="4"/>
  <c r="K490" i="4"/>
  <c r="K491" i="4"/>
  <c r="K492" i="4"/>
  <c r="K493" i="4"/>
  <c r="K498" i="4"/>
  <c r="K499" i="4"/>
  <c r="K500" i="4"/>
  <c r="K501" i="4"/>
  <c r="K514" i="4"/>
  <c r="K515" i="4"/>
  <c r="K516" i="4"/>
  <c r="K517" i="4"/>
  <c r="K544" i="4"/>
  <c r="K545" i="4"/>
  <c r="K546" i="4"/>
  <c r="K547" i="4"/>
  <c r="K552" i="4"/>
  <c r="K553" i="4"/>
  <c r="K554" i="4"/>
  <c r="K555" i="4"/>
  <c r="K558" i="4"/>
  <c r="K559" i="4"/>
  <c r="K560" i="4"/>
  <c r="K561" i="4"/>
  <c r="K582" i="4"/>
  <c r="K583" i="4"/>
  <c r="K584" i="4"/>
  <c r="K585" i="4"/>
  <c r="K590" i="4"/>
  <c r="K591" i="4"/>
  <c r="K592" i="4"/>
  <c r="K593" i="4"/>
  <c r="K614" i="4"/>
  <c r="K615" i="4"/>
  <c r="K616" i="4"/>
  <c r="K617" i="4"/>
  <c r="K623" i="4"/>
  <c r="K624" i="4"/>
  <c r="K625" i="4"/>
  <c r="K626" i="4"/>
  <c r="K627" i="4"/>
  <c r="K644" i="4"/>
  <c r="K645" i="4"/>
  <c r="K646" i="4"/>
  <c r="K647" i="4"/>
  <c r="K648" i="4"/>
  <c r="F348" i="6"/>
  <c r="F347" i="6"/>
  <c r="F346" i="6"/>
  <c r="F345" i="6"/>
  <c r="F262" i="6"/>
  <c r="F261" i="6"/>
  <c r="F260" i="6"/>
  <c r="F259" i="6"/>
  <c r="F258" i="6"/>
  <c r="F257" i="6"/>
  <c r="I253" i="6"/>
  <c r="I254" i="6"/>
  <c r="I255" i="6"/>
  <c r="F256" i="6"/>
  <c r="I256" i="6" s="1"/>
  <c r="F251" i="6"/>
  <c r="F344" i="6" l="1"/>
  <c r="F343" i="6"/>
  <c r="F342" i="6"/>
  <c r="F341" i="6"/>
  <c r="F340" i="6"/>
  <c r="E250" i="6" l="1"/>
  <c r="F250" i="6" s="1"/>
  <c r="E249" i="6"/>
  <c r="F249" i="6" s="1"/>
  <c r="F247" i="6"/>
  <c r="F246" i="6"/>
  <c r="F65" i="6"/>
  <c r="F64" i="6"/>
  <c r="F63" i="6"/>
  <c r="F62" i="6"/>
  <c r="F61" i="6"/>
  <c r="F60" i="6"/>
  <c r="F111" i="5"/>
  <c r="F110" i="5"/>
  <c r="F77" i="5"/>
  <c r="G290" i="6"/>
  <c r="F291" i="6"/>
  <c r="G291" i="6"/>
  <c r="F292" i="6"/>
  <c r="F401" i="6"/>
  <c r="F398" i="6"/>
  <c r="F397" i="6"/>
  <c r="F396" i="6"/>
  <c r="F399" i="6"/>
  <c r="G397" i="6" l="1"/>
  <c r="G401" i="6"/>
  <c r="G399" i="6"/>
  <c r="H8" i="15"/>
  <c r="G8" i="15"/>
  <c r="D13" i="8"/>
  <c r="E13" i="8"/>
  <c r="F13" i="8"/>
  <c r="G13" i="8"/>
  <c r="H13" i="8"/>
  <c r="C13" i="8"/>
  <c r="D17" i="8"/>
  <c r="E17" i="8"/>
  <c r="H17" i="8"/>
  <c r="C17" i="8"/>
  <c r="D20" i="8"/>
  <c r="D385" i="14" s="1"/>
  <c r="E20" i="8"/>
  <c r="E385" i="14" s="1"/>
  <c r="F20" i="8"/>
  <c r="F385" i="14" s="1"/>
  <c r="G20" i="8"/>
  <c r="G385" i="14" s="1"/>
  <c r="H20" i="8"/>
  <c r="H385" i="14" s="1"/>
  <c r="C20" i="8"/>
  <c r="C385" i="14" s="1"/>
  <c r="C460" i="4"/>
  <c r="A13" i="8"/>
  <c r="D460" i="4"/>
  <c r="E460" i="4"/>
  <c r="F460" i="4"/>
  <c r="K460" i="4" s="1"/>
  <c r="G460" i="4"/>
  <c r="H460" i="4"/>
  <c r="K133" i="6"/>
  <c r="I133" i="6"/>
  <c r="F47" i="5"/>
  <c r="G463" i="6"/>
  <c r="F463" i="6"/>
  <c r="E463" i="6"/>
  <c r="D242" i="5"/>
  <c r="E242" i="5"/>
  <c r="G242" i="5"/>
  <c r="H242" i="5"/>
  <c r="C242" i="5"/>
  <c r="F125" i="5"/>
  <c r="F124" i="5"/>
  <c r="D522" i="4"/>
  <c r="E522" i="4"/>
  <c r="G522" i="4"/>
  <c r="H522" i="4"/>
  <c r="C522" i="4"/>
  <c r="G668" i="4"/>
  <c r="G724" i="4"/>
  <c r="G645" i="6" l="1"/>
  <c r="F645" i="6"/>
  <c r="E642" i="6"/>
  <c r="F642" i="6" s="1"/>
  <c r="G641" i="6"/>
  <c r="F641" i="6"/>
  <c r="G693" i="6"/>
  <c r="G692" i="6"/>
  <c r="G691" i="6"/>
  <c r="G642" i="6" l="1"/>
  <c r="G697" i="6"/>
  <c r="G17" i="8" s="1"/>
  <c r="G698" i="6"/>
  <c r="F698" i="6"/>
  <c r="F697" i="6"/>
  <c r="F17" i="8" s="1"/>
  <c r="G694" i="6"/>
  <c r="F694" i="6"/>
  <c r="F693" i="6"/>
  <c r="F691" i="6"/>
  <c r="F692" i="6"/>
  <c r="F14" i="6"/>
  <c r="F17" i="6"/>
  <c r="F16" i="6"/>
  <c r="F15" i="6"/>
  <c r="F13" i="6"/>
  <c r="F11" i="6"/>
  <c r="F10" i="6"/>
  <c r="F9" i="6"/>
  <c r="E12" i="6"/>
  <c r="F12" i="6" s="1"/>
  <c r="F242" i="5"/>
  <c r="G784" i="6"/>
  <c r="F784" i="6"/>
  <c r="G783" i="6"/>
  <c r="F783" i="6"/>
  <c r="G778" i="6"/>
  <c r="F778" i="6"/>
  <c r="F782" i="6"/>
  <c r="G782" i="6"/>
  <c r="F781" i="6"/>
  <c r="G781" i="6"/>
  <c r="F780" i="6"/>
  <c r="F775" i="6"/>
  <c r="G775" i="6"/>
  <c r="E714" i="6"/>
  <c r="F714" i="6" s="1"/>
  <c r="G707" i="6"/>
  <c r="F707" i="6"/>
  <c r="E707" i="6"/>
  <c r="F199" i="6"/>
  <c r="F198" i="6"/>
  <c r="F197" i="6"/>
  <c r="F195" i="6"/>
  <c r="F194" i="6"/>
  <c r="E196" i="6"/>
  <c r="F196" i="6" s="1"/>
  <c r="F192" i="6"/>
  <c r="G334" i="6"/>
  <c r="G332" i="6"/>
  <c r="E608" i="6"/>
  <c r="F608" i="6" s="1"/>
  <c r="F601" i="6"/>
  <c r="F605" i="6"/>
  <c r="F607" i="6"/>
  <c r="F600" i="6"/>
  <c r="F602" i="6"/>
  <c r="F599" i="6"/>
  <c r="F177" i="5"/>
  <c r="F176" i="5"/>
  <c r="F178" i="5"/>
  <c r="G387" i="6"/>
  <c r="H388" i="6"/>
  <c r="G388" i="6"/>
  <c r="F685" i="6"/>
  <c r="G685" i="6"/>
  <c r="K682" i="6"/>
  <c r="K681" i="6"/>
  <c r="H11" i="15"/>
  <c r="G11" i="15"/>
  <c r="G662" i="6" l="1"/>
  <c r="G661" i="6" l="1"/>
  <c r="F661" i="6"/>
  <c r="G659" i="6"/>
  <c r="G657" i="6"/>
  <c r="G665" i="6"/>
  <c r="G664" i="6"/>
  <c r="G663" i="6"/>
  <c r="F663" i="6"/>
  <c r="F659" i="6"/>
  <c r="F657" i="6"/>
  <c r="F664" i="6"/>
  <c r="F662" i="6"/>
  <c r="F665" i="6"/>
  <c r="E656" i="6"/>
  <c r="G656" i="6" s="1"/>
  <c r="G91" i="6"/>
  <c r="G93" i="6"/>
  <c r="F93" i="6"/>
  <c r="F91" i="6"/>
  <c r="F656" i="6" l="1"/>
  <c r="G575" i="6"/>
  <c r="G573" i="6"/>
  <c r="G572" i="6"/>
  <c r="G570" i="6"/>
  <c r="G568" i="6"/>
  <c r="G567" i="6"/>
  <c r="G566" i="6"/>
  <c r="G565" i="6"/>
  <c r="F575" i="6"/>
  <c r="F573" i="6"/>
  <c r="F572" i="6"/>
  <c r="F570" i="6"/>
  <c r="F568" i="6"/>
  <c r="F567" i="6"/>
  <c r="F566" i="6"/>
  <c r="F565" i="6"/>
  <c r="I574" i="6"/>
  <c r="K574" i="6"/>
  <c r="E550" i="6"/>
  <c r="F550" i="6" s="1"/>
  <c r="G550" i="6"/>
  <c r="G556" i="6"/>
  <c r="E556" i="6"/>
  <c r="F556" i="6" s="1"/>
  <c r="D556" i="6"/>
  <c r="I551" i="6"/>
  <c r="F633" i="6" l="1"/>
  <c r="F631" i="6"/>
  <c r="F630" i="6"/>
  <c r="D166" i="14"/>
  <c r="E166" i="14"/>
  <c r="F166" i="14"/>
  <c r="G166" i="14"/>
  <c r="H166" i="14"/>
  <c r="D212" i="14"/>
  <c r="E212" i="14"/>
  <c r="F212" i="14"/>
  <c r="G212" i="14"/>
  <c r="H212" i="14"/>
  <c r="D426" i="8"/>
  <c r="D279" i="14" s="1"/>
  <c r="E426" i="8"/>
  <c r="E279" i="14" s="1"/>
  <c r="F426" i="8"/>
  <c r="F279" i="14" s="1"/>
  <c r="G426" i="8"/>
  <c r="G279" i="14" s="1"/>
  <c r="H426" i="8"/>
  <c r="H279" i="14" s="1"/>
  <c r="I739" i="6"/>
  <c r="K739" i="6"/>
  <c r="F199" i="5"/>
  <c r="F175" i="6"/>
  <c r="E172" i="6"/>
  <c r="F172" i="6" s="1"/>
  <c r="F184" i="6"/>
  <c r="F183" i="6"/>
  <c r="F182" i="6"/>
  <c r="F181" i="6"/>
  <c r="F180" i="6"/>
  <c r="E179" i="6"/>
  <c r="F179" i="6" s="1"/>
  <c r="F178" i="6"/>
  <c r="F171" i="6"/>
  <c r="F170" i="6"/>
  <c r="F176" i="6"/>
  <c r="F169" i="6"/>
  <c r="F168" i="6"/>
  <c r="F58" i="5"/>
  <c r="K521" i="6"/>
  <c r="E155" i="5"/>
  <c r="F155" i="5" s="1"/>
  <c r="F156" i="5"/>
  <c r="D411" i="8"/>
  <c r="D218" i="14" s="1"/>
  <c r="E411" i="8"/>
  <c r="E218" i="14" s="1"/>
  <c r="F411" i="8"/>
  <c r="F218" i="14" s="1"/>
  <c r="G411" i="8"/>
  <c r="G218" i="14" s="1"/>
  <c r="H411" i="8"/>
  <c r="H218" i="14" s="1"/>
  <c r="C411" i="8"/>
  <c r="D251" i="4"/>
  <c r="E251" i="4"/>
  <c r="F251" i="4"/>
  <c r="K251" i="4" s="1"/>
  <c r="G251" i="4"/>
  <c r="H251" i="4"/>
  <c r="C251" i="4"/>
  <c r="K504" i="6"/>
  <c r="I504" i="6"/>
  <c r="D432" i="4"/>
  <c r="E432" i="4"/>
  <c r="F432" i="4"/>
  <c r="K432" i="4" s="1"/>
  <c r="G432" i="4"/>
  <c r="H432" i="4"/>
  <c r="C432" i="4"/>
  <c r="D396" i="8"/>
  <c r="E396" i="8"/>
  <c r="F396" i="8"/>
  <c r="G396" i="8"/>
  <c r="H396" i="8"/>
  <c r="D397" i="8"/>
  <c r="D243" i="14" s="1"/>
  <c r="E397" i="8"/>
  <c r="E243" i="14" s="1"/>
  <c r="F397" i="8"/>
  <c r="F243" i="14" s="1"/>
  <c r="G397" i="8"/>
  <c r="G243" i="14" s="1"/>
  <c r="H397" i="8"/>
  <c r="H243" i="14" s="1"/>
  <c r="C397" i="8"/>
  <c r="C243" i="14" s="1"/>
  <c r="D286" i="4"/>
  <c r="E286" i="4"/>
  <c r="F286" i="4"/>
  <c r="G286" i="4"/>
  <c r="H286" i="4"/>
  <c r="C286" i="4"/>
  <c r="K622" i="6"/>
  <c r="I622" i="6"/>
  <c r="F185" i="5"/>
  <c r="D366" i="8"/>
  <c r="D392" i="14" s="1"/>
  <c r="E366" i="8"/>
  <c r="E392" i="14" s="1"/>
  <c r="F366" i="8"/>
  <c r="F392" i="14" s="1"/>
  <c r="G366" i="8"/>
  <c r="G392" i="14" s="1"/>
  <c r="H366" i="8"/>
  <c r="H392" i="14" s="1"/>
  <c r="C366" i="8"/>
  <c r="C392" i="14" s="1"/>
  <c r="D467" i="4"/>
  <c r="E467" i="4"/>
  <c r="F467" i="4"/>
  <c r="K467" i="4" s="1"/>
  <c r="G467" i="4"/>
  <c r="H467" i="4"/>
  <c r="C467" i="4"/>
  <c r="F52" i="6"/>
  <c r="F51" i="6"/>
  <c r="G42" i="6"/>
  <c r="F42" i="6"/>
  <c r="E42" i="6"/>
  <c r="K151" i="6"/>
  <c r="K150" i="6"/>
  <c r="E482" i="6"/>
  <c r="F482" i="6" s="1"/>
  <c r="G147" i="5"/>
  <c r="D147" i="5"/>
  <c r="D535" i="14"/>
  <c r="E535" i="14"/>
  <c r="F535" i="14"/>
  <c r="G535" i="14"/>
  <c r="H535" i="14"/>
  <c r="C535" i="14"/>
  <c r="D14" i="8"/>
  <c r="E14" i="8"/>
  <c r="F14" i="8"/>
  <c r="G14" i="8"/>
  <c r="H14" i="8"/>
  <c r="C14" i="8"/>
  <c r="D628" i="4"/>
  <c r="E628" i="4"/>
  <c r="F628" i="4"/>
  <c r="K628" i="4" s="1"/>
  <c r="G628" i="4"/>
  <c r="H628" i="4"/>
  <c r="C628" i="4"/>
  <c r="D26" i="6"/>
  <c r="F33" i="6"/>
  <c r="D15" i="5"/>
  <c r="F18" i="5"/>
  <c r="D55" i="8"/>
  <c r="D150" i="14" s="1"/>
  <c r="E55" i="8"/>
  <c r="E150" i="14" s="1"/>
  <c r="F55" i="8"/>
  <c r="F150" i="14" s="1"/>
  <c r="G55" i="8"/>
  <c r="G150" i="14" s="1"/>
  <c r="H55" i="8"/>
  <c r="H150" i="14" s="1"/>
  <c r="C55" i="8"/>
  <c r="C150" i="14" s="1"/>
  <c r="D197" i="4"/>
  <c r="E197" i="4"/>
  <c r="F197" i="4"/>
  <c r="K197" i="4" s="1"/>
  <c r="G197" i="4"/>
  <c r="H197" i="4"/>
  <c r="C197" i="4"/>
  <c r="E81" i="6"/>
  <c r="F81" i="6"/>
  <c r="G81" i="6"/>
  <c r="A82" i="6"/>
  <c r="G76" i="6"/>
  <c r="F76" i="6"/>
  <c r="E76" i="6"/>
  <c r="D254" i="5"/>
  <c r="E254" i="5"/>
  <c r="G254" i="5"/>
  <c r="H254" i="5"/>
  <c r="C254" i="5"/>
  <c r="F254" i="5"/>
  <c r="K286" i="4" l="1"/>
  <c r="F227" i="5"/>
  <c r="F228" i="5"/>
  <c r="F229" i="5"/>
  <c r="F230" i="5"/>
  <c r="F226" i="5"/>
  <c r="F225" i="5"/>
  <c r="F223" i="5"/>
  <c r="F222" i="5"/>
  <c r="F804" i="6" l="1"/>
  <c r="F805" i="6"/>
  <c r="F806" i="6"/>
  <c r="F807" i="6"/>
  <c r="F808" i="6"/>
  <c r="F803" i="6"/>
  <c r="F802" i="6"/>
  <c r="F801" i="6"/>
  <c r="F800" i="6"/>
  <c r="F796" i="6"/>
  <c r="F795" i="6"/>
  <c r="F794" i="6"/>
  <c r="F793" i="6"/>
  <c r="F792" i="6"/>
  <c r="G797" i="6"/>
  <c r="E797" i="6"/>
  <c r="F797" i="6" s="1"/>
  <c r="F160" i="6"/>
  <c r="F530" i="6"/>
  <c r="F531" i="6"/>
  <c r="F532" i="6"/>
  <c r="F534" i="6"/>
  <c r="F537" i="6"/>
  <c r="F538" i="6"/>
  <c r="F539" i="6"/>
  <c r="F529" i="6"/>
  <c r="J169" i="5" l="1"/>
  <c r="F169" i="5"/>
  <c r="D153" i="8" l="1"/>
  <c r="D387" i="14" s="1"/>
  <c r="H153" i="8"/>
  <c r="H387" i="14" s="1"/>
  <c r="C153" i="8"/>
  <c r="C387" i="14" s="1"/>
  <c r="G221" i="6"/>
  <c r="G153" i="8" s="1"/>
  <c r="G387" i="14" s="1"/>
  <c r="F224" i="6"/>
  <c r="F223" i="6"/>
  <c r="E221" i="6"/>
  <c r="F221" i="6" s="1"/>
  <c r="F153" i="8" s="1"/>
  <c r="F387" i="14" s="1"/>
  <c r="F207" i="6"/>
  <c r="G321" i="6"/>
  <c r="G318" i="6"/>
  <c r="F95" i="5"/>
  <c r="F253" i="5" s="1"/>
  <c r="I224" i="6" l="1"/>
  <c r="F522" i="4"/>
  <c r="K522" i="4" s="1"/>
  <c r="E153" i="8"/>
  <c r="E387" i="14" s="1"/>
  <c r="F372" i="6"/>
  <c r="I372" i="6" s="1"/>
  <c r="F364" i="6"/>
  <c r="F362" i="6"/>
  <c r="D63" i="8"/>
  <c r="D149" i="14" s="1"/>
  <c r="E63" i="8"/>
  <c r="E149" i="14" s="1"/>
  <c r="F63" i="8"/>
  <c r="F149" i="14" s="1"/>
  <c r="G63" i="8"/>
  <c r="G149" i="14" s="1"/>
  <c r="H63" i="8"/>
  <c r="H149" i="14" s="1"/>
  <c r="C63" i="8"/>
  <c r="D309" i="8"/>
  <c r="D155" i="14" s="1"/>
  <c r="E309" i="8"/>
  <c r="E155" i="14" s="1"/>
  <c r="F309" i="8"/>
  <c r="F155" i="14" s="1"/>
  <c r="G309" i="8"/>
  <c r="G155" i="14" s="1"/>
  <c r="H309" i="8"/>
  <c r="H155" i="14" s="1"/>
  <c r="C309" i="8"/>
  <c r="K309" i="8"/>
  <c r="I695" i="6" l="1"/>
  <c r="E27" i="10" l="1"/>
  <c r="D612" i="4" l="1"/>
  <c r="E612" i="4"/>
  <c r="F612" i="4"/>
  <c r="K612" i="4" s="1"/>
  <c r="G612" i="4"/>
  <c r="H612" i="4"/>
  <c r="C612" i="4"/>
  <c r="D36" i="3"/>
  <c r="E36" i="3"/>
  <c r="F36" i="3"/>
  <c r="G36" i="3"/>
  <c r="H36" i="3"/>
  <c r="C36" i="3"/>
  <c r="D49" i="3"/>
  <c r="E49" i="3"/>
  <c r="F49" i="3"/>
  <c r="G49" i="3"/>
  <c r="H49" i="3"/>
  <c r="C49" i="3"/>
  <c r="D151" i="8" l="1"/>
  <c r="E151" i="8"/>
  <c r="F151" i="8"/>
  <c r="G151" i="8"/>
  <c r="H151" i="8"/>
  <c r="D155" i="8"/>
  <c r="E155" i="8"/>
  <c r="F155" i="8"/>
  <c r="G155" i="8"/>
  <c r="H155" i="8"/>
  <c r="C154" i="8"/>
  <c r="D150" i="8"/>
  <c r="E150" i="8"/>
  <c r="F150" i="8"/>
  <c r="G150" i="8"/>
  <c r="H150" i="8"/>
  <c r="D392" i="8"/>
  <c r="E392" i="8"/>
  <c r="F392" i="8"/>
  <c r="G392" i="8"/>
  <c r="H392" i="8"/>
  <c r="D169" i="8"/>
  <c r="E169" i="8"/>
  <c r="F169" i="8"/>
  <c r="G169" i="8"/>
  <c r="H169" i="8"/>
  <c r="C169" i="8"/>
  <c r="D154" i="8"/>
  <c r="E154" i="8"/>
  <c r="F154" i="8"/>
  <c r="G154" i="8"/>
  <c r="H154" i="8"/>
  <c r="C150" i="8"/>
  <c r="K146" i="8" l="1"/>
  <c r="D64" i="7"/>
  <c r="E64" i="7"/>
  <c r="F64" i="7"/>
  <c r="G64" i="7"/>
  <c r="H64" i="7"/>
  <c r="C64" i="7"/>
  <c r="D25" i="4" l="1"/>
  <c r="E25" i="4"/>
  <c r="F25" i="4"/>
  <c r="K25" i="4" s="1"/>
  <c r="G25" i="4"/>
  <c r="H25" i="4"/>
  <c r="C25" i="4"/>
  <c r="H406" i="6"/>
  <c r="G406" i="6"/>
  <c r="F406" i="6"/>
  <c r="E406" i="6"/>
  <c r="D406" i="6"/>
  <c r="C406" i="6"/>
  <c r="D265" i="6" l="1"/>
  <c r="E265" i="6"/>
  <c r="F265" i="6"/>
  <c r="G265" i="6"/>
  <c r="H265" i="6"/>
  <c r="C265" i="6"/>
  <c r="D135" i="3" l="1"/>
  <c r="E135" i="3"/>
  <c r="G135" i="3"/>
  <c r="H135" i="3"/>
  <c r="D187" i="8"/>
  <c r="E187" i="8"/>
  <c r="F187" i="8"/>
  <c r="G187" i="8"/>
  <c r="H187" i="8"/>
  <c r="D186" i="8"/>
  <c r="E186" i="8"/>
  <c r="F186" i="8"/>
  <c r="G186" i="8"/>
  <c r="H186" i="8"/>
  <c r="C187" i="8"/>
  <c r="C186" i="8"/>
  <c r="C78" i="5"/>
  <c r="C58" i="10" s="1"/>
  <c r="D58" i="10"/>
  <c r="E9" i="10"/>
  <c r="E58" i="10"/>
  <c r="C135" i="3" l="1"/>
  <c r="C70" i="7"/>
  <c r="D399" i="8"/>
  <c r="E399" i="8"/>
  <c r="F399" i="8"/>
  <c r="G399" i="8"/>
  <c r="H399" i="8"/>
  <c r="D398" i="8"/>
  <c r="E398" i="8"/>
  <c r="F398" i="8"/>
  <c r="G398" i="8"/>
  <c r="H398" i="8"/>
  <c r="D395" i="8"/>
  <c r="E395" i="8"/>
  <c r="F395" i="8"/>
  <c r="G395" i="8"/>
  <c r="H395" i="8"/>
  <c r="D394" i="8"/>
  <c r="E394" i="8"/>
  <c r="G394" i="8"/>
  <c r="H394" i="8"/>
  <c r="D393" i="8"/>
  <c r="E393" i="8"/>
  <c r="F393" i="8"/>
  <c r="G393" i="8"/>
  <c r="H393" i="8"/>
  <c r="C399" i="8"/>
  <c r="C398" i="8"/>
  <c r="C396" i="8" l="1"/>
  <c r="C395" i="8"/>
  <c r="C394" i="8"/>
  <c r="C393" i="8"/>
  <c r="C392" i="8"/>
  <c r="I58" i="5"/>
  <c r="I63" i="5"/>
  <c r="I64" i="5"/>
  <c r="E56" i="10" l="1"/>
  <c r="H579" i="8"/>
  <c r="H498" i="14" s="1"/>
  <c r="D587" i="8"/>
  <c r="E587" i="8"/>
  <c r="F587" i="8"/>
  <c r="G587" i="8"/>
  <c r="H587" i="8"/>
  <c r="C587" i="8"/>
  <c r="D183" i="7"/>
  <c r="E183" i="7"/>
  <c r="D182" i="7"/>
  <c r="E182" i="7"/>
  <c r="D181" i="7"/>
  <c r="E181" i="7"/>
  <c r="E53" i="10"/>
  <c r="D68" i="8" l="1"/>
  <c r="D203" i="14" s="1"/>
  <c r="E68" i="8"/>
  <c r="E203" i="14" s="1"/>
  <c r="F68" i="8"/>
  <c r="F203" i="14" s="1"/>
  <c r="G68" i="8"/>
  <c r="G203" i="14" s="1"/>
  <c r="H68" i="8"/>
  <c r="H203" i="14" s="1"/>
  <c r="C68" i="8"/>
  <c r="C64" i="8"/>
  <c r="I382" i="6"/>
  <c r="I384" i="6"/>
  <c r="I385" i="6"/>
  <c r="I386" i="6"/>
  <c r="I387" i="6"/>
  <c r="I388" i="6"/>
  <c r="C391" i="6"/>
  <c r="D391" i="6"/>
  <c r="E391" i="6"/>
  <c r="F391" i="6"/>
  <c r="G391" i="6"/>
  <c r="H391" i="6"/>
  <c r="D577" i="8"/>
  <c r="E577" i="8"/>
  <c r="F577" i="8"/>
  <c r="G577" i="8"/>
  <c r="H577" i="8"/>
  <c r="C577" i="8"/>
  <c r="D543" i="8"/>
  <c r="G696" i="4"/>
  <c r="D570" i="8"/>
  <c r="E570" i="8"/>
  <c r="F570" i="8"/>
  <c r="G570" i="8"/>
  <c r="H570" i="8"/>
  <c r="E349" i="8"/>
  <c r="F349" i="8"/>
  <c r="G349" i="8"/>
  <c r="H349" i="8"/>
  <c r="E348" i="8"/>
  <c r="F348" i="8"/>
  <c r="G348" i="8"/>
  <c r="H348" i="8"/>
  <c r="H347" i="8"/>
  <c r="H346" i="8"/>
  <c r="E345" i="8"/>
  <c r="F345" i="8"/>
  <c r="G345" i="8"/>
  <c r="H345" i="8"/>
  <c r="H344" i="8"/>
  <c r="H343" i="8"/>
  <c r="H214" i="14" s="1"/>
  <c r="H342" i="8"/>
  <c r="H341" i="8"/>
  <c r="H340" i="8"/>
  <c r="H156" i="14" s="1"/>
  <c r="H339" i="8"/>
  <c r="H338" i="8"/>
  <c r="E26" i="10" l="1"/>
  <c r="D10" i="8" l="1"/>
  <c r="E10" i="8"/>
  <c r="F10" i="8"/>
  <c r="G10" i="8"/>
  <c r="H10" i="8"/>
  <c r="D9" i="8"/>
  <c r="D147" i="14" s="1"/>
  <c r="E9" i="8"/>
  <c r="E147" i="14" s="1"/>
  <c r="F9" i="8"/>
  <c r="F147" i="14" s="1"/>
  <c r="G9" i="8"/>
  <c r="G147" i="14" s="1"/>
  <c r="H9" i="8"/>
  <c r="H147" i="14" s="1"/>
  <c r="C9" i="8"/>
  <c r="D168" i="8"/>
  <c r="D207" i="14" s="1"/>
  <c r="E168" i="8"/>
  <c r="E207" i="14" s="1"/>
  <c r="F168" i="8"/>
  <c r="F207" i="14" s="1"/>
  <c r="G168" i="8"/>
  <c r="G207" i="14" s="1"/>
  <c r="H168" i="8"/>
  <c r="H207" i="14" s="1"/>
  <c r="C168" i="8"/>
  <c r="D167" i="8"/>
  <c r="E167" i="8"/>
  <c r="F167" i="8"/>
  <c r="G167" i="8"/>
  <c r="H167" i="8"/>
  <c r="C167" i="8"/>
  <c r="E59" i="10" l="1"/>
  <c r="D563" i="8"/>
  <c r="E563" i="8"/>
  <c r="F563" i="8"/>
  <c r="G563" i="8"/>
  <c r="H563" i="8"/>
  <c r="C563" i="8"/>
  <c r="D701" i="4"/>
  <c r="E701" i="4"/>
  <c r="F701" i="4"/>
  <c r="G701" i="4"/>
  <c r="H701" i="4"/>
  <c r="C701" i="4"/>
  <c r="D621" i="4"/>
  <c r="E621" i="4"/>
  <c r="F621" i="4"/>
  <c r="K621" i="4" s="1"/>
  <c r="G621" i="4"/>
  <c r="H621" i="4"/>
  <c r="D609" i="4"/>
  <c r="E609" i="4"/>
  <c r="F609" i="4"/>
  <c r="K609" i="4" s="1"/>
  <c r="G609" i="4"/>
  <c r="H609" i="4"/>
  <c r="D541" i="4"/>
  <c r="E541" i="4"/>
  <c r="F541" i="4"/>
  <c r="K541" i="4" s="1"/>
  <c r="G541" i="4"/>
  <c r="H541" i="4"/>
  <c r="D487" i="4"/>
  <c r="E487" i="4"/>
  <c r="F487" i="4"/>
  <c r="K487" i="4" s="1"/>
  <c r="G487" i="4"/>
  <c r="H487" i="4"/>
  <c r="D400" i="4"/>
  <c r="E400" i="4"/>
  <c r="F400" i="4"/>
  <c r="K400" i="4" s="1"/>
  <c r="G400" i="4"/>
  <c r="H400" i="4"/>
  <c r="D388" i="4"/>
  <c r="E388" i="4"/>
  <c r="F388" i="4"/>
  <c r="K388" i="4" s="1"/>
  <c r="G388" i="4"/>
  <c r="H388" i="4"/>
  <c r="D265" i="4"/>
  <c r="E265" i="4"/>
  <c r="F265" i="4"/>
  <c r="K265" i="4" s="1"/>
  <c r="G265" i="4"/>
  <c r="H265" i="4"/>
  <c r="D194" i="4"/>
  <c r="E194" i="4"/>
  <c r="F194" i="4"/>
  <c r="K194" i="4" s="1"/>
  <c r="G194" i="4"/>
  <c r="H194" i="4"/>
  <c r="D42" i="4"/>
  <c r="E42" i="4"/>
  <c r="F42" i="4"/>
  <c r="K42" i="4" s="1"/>
  <c r="G42" i="4"/>
  <c r="H42" i="4"/>
  <c r="D207" i="4"/>
  <c r="E207" i="4"/>
  <c r="F207" i="4"/>
  <c r="G207" i="4"/>
  <c r="H207" i="4"/>
  <c r="E23" i="10"/>
  <c r="K207" i="4" l="1"/>
  <c r="E15" i="7"/>
  <c r="E129" i="13" s="1"/>
  <c r="D430" i="8"/>
  <c r="E430" i="8"/>
  <c r="F430" i="8"/>
  <c r="G430" i="8"/>
  <c r="H430" i="8"/>
  <c r="E11" i="10"/>
  <c r="E72" i="10"/>
  <c r="D110" i="4"/>
  <c r="E110" i="4"/>
  <c r="F110" i="4"/>
  <c r="K110" i="4" s="1"/>
  <c r="G110" i="4"/>
  <c r="H110" i="4"/>
  <c r="C110" i="4"/>
  <c r="D40" i="8"/>
  <c r="E40" i="8"/>
  <c r="F40" i="8"/>
  <c r="G40" i="8"/>
  <c r="H40" i="8"/>
  <c r="D41" i="8"/>
  <c r="E41" i="8"/>
  <c r="F41" i="8"/>
  <c r="G41" i="8"/>
  <c r="H41" i="8"/>
  <c r="C41" i="8"/>
  <c r="C40" i="8"/>
  <c r="D299" i="8"/>
  <c r="E299" i="8"/>
  <c r="F299" i="8"/>
  <c r="G299" i="8"/>
  <c r="H299" i="8"/>
  <c r="C299" i="8"/>
  <c r="D29" i="8"/>
  <c r="E29" i="8"/>
  <c r="F29" i="8"/>
  <c r="G29" i="8"/>
  <c r="H29" i="8"/>
  <c r="C29" i="8"/>
  <c r="I104" i="6" l="1"/>
  <c r="I105" i="6"/>
  <c r="I106" i="6"/>
  <c r="I107" i="6"/>
  <c r="I108" i="6"/>
  <c r="I110" i="6"/>
  <c r="I111" i="6"/>
  <c r="I113" i="6"/>
  <c r="I114" i="6"/>
  <c r="I115" i="6"/>
  <c r="D435" i="8"/>
  <c r="E435" i="8"/>
  <c r="F435" i="8"/>
  <c r="G435" i="8"/>
  <c r="H435" i="8"/>
  <c r="C435" i="8"/>
  <c r="D432" i="8"/>
  <c r="E432" i="8"/>
  <c r="F432" i="8"/>
  <c r="G432" i="8"/>
  <c r="H432" i="8"/>
  <c r="D431" i="8"/>
  <c r="E431" i="8"/>
  <c r="F431" i="8"/>
  <c r="G431" i="8"/>
  <c r="H431" i="8"/>
  <c r="C431" i="8"/>
  <c r="C430" i="8"/>
  <c r="D429" i="8"/>
  <c r="E429" i="8"/>
  <c r="F429" i="8"/>
  <c r="G429" i="8"/>
  <c r="H429" i="8"/>
  <c r="C429" i="8"/>
  <c r="D428" i="8"/>
  <c r="D160" i="14" s="1"/>
  <c r="E428" i="8"/>
  <c r="E160" i="14" s="1"/>
  <c r="F428" i="8"/>
  <c r="F160" i="14" s="1"/>
  <c r="G428" i="8"/>
  <c r="G160" i="14" s="1"/>
  <c r="H428" i="8"/>
  <c r="H160" i="14" s="1"/>
  <c r="C428" i="8"/>
  <c r="C426" i="8"/>
  <c r="C425" i="8"/>
  <c r="D19" i="8" l="1"/>
  <c r="E19" i="8"/>
  <c r="F19" i="8"/>
  <c r="G19" i="8"/>
  <c r="H19" i="8"/>
  <c r="C19" i="8"/>
  <c r="D18" i="8"/>
  <c r="E18" i="8"/>
  <c r="F18" i="8"/>
  <c r="G18" i="8"/>
  <c r="H18" i="8"/>
  <c r="D16" i="8"/>
  <c r="E16" i="8"/>
  <c r="F16" i="8"/>
  <c r="G16" i="8"/>
  <c r="H16" i="8"/>
  <c r="C16" i="8"/>
  <c r="D15" i="8"/>
  <c r="D199" i="14" s="1"/>
  <c r="E15" i="8"/>
  <c r="E199" i="14" s="1"/>
  <c r="F15" i="8"/>
  <c r="F199" i="14" s="1"/>
  <c r="G15" i="8"/>
  <c r="G199" i="14" s="1"/>
  <c r="H15" i="8"/>
  <c r="H199" i="14" s="1"/>
  <c r="C15" i="8"/>
  <c r="C10" i="8"/>
  <c r="D8" i="8"/>
  <c r="E8" i="8"/>
  <c r="F8" i="8"/>
  <c r="G8" i="8"/>
  <c r="H8" i="8"/>
  <c r="C8" i="8"/>
  <c r="E57" i="10" l="1"/>
  <c r="C24" i="4"/>
  <c r="E51" i="10"/>
  <c r="E10" i="10"/>
  <c r="G18" i="1"/>
  <c r="F18" i="1"/>
  <c r="E18" i="1"/>
  <c r="D474" i="8"/>
  <c r="E474" i="8"/>
  <c r="F474" i="8"/>
  <c r="G474" i="8"/>
  <c r="H474" i="8"/>
  <c r="D708" i="4"/>
  <c r="E708" i="4"/>
  <c r="F708" i="4"/>
  <c r="G708" i="4"/>
  <c r="H708" i="4"/>
  <c r="C708" i="4"/>
  <c r="D654" i="4"/>
  <c r="E654" i="4"/>
  <c r="F654" i="4"/>
  <c r="G654" i="4"/>
  <c r="H654" i="4"/>
  <c r="C654" i="4"/>
  <c r="D431" i="4"/>
  <c r="E431" i="4"/>
  <c r="F431" i="4"/>
  <c r="K431" i="4" s="1"/>
  <c r="G431" i="4"/>
  <c r="H431" i="4"/>
  <c r="C431" i="4"/>
  <c r="D10" i="4"/>
  <c r="E10" i="4"/>
  <c r="F10" i="4"/>
  <c r="K10" i="4" s="1"/>
  <c r="G10" i="4"/>
  <c r="H10" i="4"/>
  <c r="D17" i="4"/>
  <c r="E17" i="4"/>
  <c r="F17" i="4"/>
  <c r="K17" i="4" s="1"/>
  <c r="G17" i="4"/>
  <c r="H17" i="4"/>
  <c r="D524" i="6" l="1"/>
  <c r="E524" i="6"/>
  <c r="F524" i="6"/>
  <c r="G524" i="6"/>
  <c r="H524" i="6"/>
  <c r="C524" i="6"/>
  <c r="I9" i="6" l="1"/>
  <c r="I10" i="6"/>
  <c r="I11" i="6"/>
  <c r="I13" i="6"/>
  <c r="I14" i="6"/>
  <c r="I15" i="6"/>
  <c r="I17" i="6"/>
  <c r="I25" i="6"/>
  <c r="I26" i="6"/>
  <c r="I27" i="6"/>
  <c r="I28" i="6"/>
  <c r="I29" i="6"/>
  <c r="I31" i="6"/>
  <c r="I32" i="6"/>
  <c r="I34" i="6"/>
  <c r="I42" i="6"/>
  <c r="I43" i="6"/>
  <c r="I44" i="6"/>
  <c r="I47" i="6"/>
  <c r="I48" i="6"/>
  <c r="I49" i="6"/>
  <c r="I50" i="6"/>
  <c r="I52" i="6"/>
  <c r="I60" i="6"/>
  <c r="I61" i="6"/>
  <c r="I62" i="6"/>
  <c r="I63" i="6"/>
  <c r="I64" i="6"/>
  <c r="I65" i="6"/>
  <c r="I75" i="6"/>
  <c r="I76" i="6"/>
  <c r="I77" i="6"/>
  <c r="I78" i="6"/>
  <c r="I79" i="6"/>
  <c r="I80" i="6"/>
  <c r="I81" i="6"/>
  <c r="I91" i="6"/>
  <c r="I92" i="6"/>
  <c r="I94" i="6"/>
  <c r="I95" i="6"/>
  <c r="I124" i="6"/>
  <c r="I125" i="6"/>
  <c r="I126" i="6"/>
  <c r="I127" i="6"/>
  <c r="I128" i="6"/>
  <c r="I129" i="6"/>
  <c r="I130" i="6"/>
  <c r="I131" i="6"/>
  <c r="I132" i="6"/>
  <c r="I144" i="6"/>
  <c r="I145" i="6"/>
  <c r="I147" i="6"/>
  <c r="I148" i="6"/>
  <c r="I149" i="6"/>
  <c r="I157" i="6"/>
  <c r="I160" i="6"/>
  <c r="I168" i="6"/>
  <c r="I169" i="6"/>
  <c r="I170" i="6"/>
  <c r="I171" i="6"/>
  <c r="I172" i="6"/>
  <c r="I174" i="6"/>
  <c r="I175" i="6"/>
  <c r="I176" i="6"/>
  <c r="I177" i="6"/>
  <c r="I178" i="6"/>
  <c r="I179" i="6"/>
  <c r="I180" i="6"/>
  <c r="I181" i="6"/>
  <c r="I182" i="6"/>
  <c r="I183" i="6"/>
  <c r="I184" i="6"/>
  <c r="I192" i="6"/>
  <c r="I193" i="6"/>
  <c r="I194" i="6"/>
  <c r="I195" i="6"/>
  <c r="I196" i="6"/>
  <c r="I197" i="6"/>
  <c r="I198" i="6"/>
  <c r="I207" i="6"/>
  <c r="I216" i="6"/>
  <c r="I217" i="6"/>
  <c r="I218" i="6"/>
  <c r="I219" i="6"/>
  <c r="I220" i="6"/>
  <c r="I221" i="6"/>
  <c r="I222" i="6"/>
  <c r="I223" i="6"/>
  <c r="I232" i="6"/>
  <c r="I233" i="6"/>
  <c r="I234" i="6"/>
  <c r="I235" i="6"/>
  <c r="I236" i="6"/>
  <c r="I245" i="6"/>
  <c r="I246" i="6"/>
  <c r="I249" i="6"/>
  <c r="I250" i="6"/>
  <c r="I252" i="6"/>
  <c r="I261" i="6"/>
  <c r="I262" i="6"/>
  <c r="I271" i="6"/>
  <c r="I272" i="6"/>
  <c r="I276" i="6"/>
  <c r="I277" i="6"/>
  <c r="I278" i="6"/>
  <c r="I279" i="6"/>
  <c r="I280" i="6"/>
  <c r="I281" i="6"/>
  <c r="I282" i="6"/>
  <c r="I290" i="6"/>
  <c r="I291" i="6"/>
  <c r="I301" i="6"/>
  <c r="I302" i="6"/>
  <c r="I303" i="6"/>
  <c r="I304" i="6"/>
  <c r="I307" i="6"/>
  <c r="I315" i="6"/>
  <c r="I316" i="6"/>
  <c r="I317" i="6"/>
  <c r="I318" i="6"/>
  <c r="I320" i="6"/>
  <c r="I321" i="6"/>
  <c r="I322" i="6"/>
  <c r="I330" i="6"/>
  <c r="I331" i="6"/>
  <c r="I332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61" i="6"/>
  <c r="I362" i="6"/>
  <c r="I363" i="6"/>
  <c r="I364" i="6"/>
  <c r="I365" i="6"/>
  <c r="I368" i="6"/>
  <c r="I369" i="6"/>
  <c r="I396" i="6"/>
  <c r="I397" i="6"/>
  <c r="I398" i="6"/>
  <c r="I400" i="6"/>
  <c r="I401" i="6"/>
  <c r="I402" i="6"/>
  <c r="I403" i="6"/>
  <c r="I411" i="6"/>
  <c r="I412" i="6"/>
  <c r="I413" i="6"/>
  <c r="I414" i="6"/>
  <c r="I415" i="6"/>
  <c r="I417" i="6"/>
  <c r="I418" i="6"/>
  <c r="I419" i="6"/>
  <c r="I420" i="6"/>
  <c r="I421" i="6"/>
  <c r="I422" i="6"/>
  <c r="I430" i="6"/>
  <c r="I431" i="6"/>
  <c r="I432" i="6"/>
  <c r="I433" i="6"/>
  <c r="I434" i="6"/>
  <c r="I436" i="6"/>
  <c r="I445" i="6"/>
  <c r="I446" i="6"/>
  <c r="I447" i="6"/>
  <c r="I448" i="6"/>
  <c r="I449" i="6"/>
  <c r="I451" i="6"/>
  <c r="I452" i="6"/>
  <c r="I453" i="6"/>
  <c r="I454" i="6"/>
  <c r="I455" i="6"/>
  <c r="I463" i="6"/>
  <c r="I465" i="6"/>
  <c r="I466" i="6"/>
  <c r="I477" i="6"/>
  <c r="I481" i="6"/>
  <c r="I482" i="6"/>
  <c r="I483" i="6"/>
  <c r="I484" i="6"/>
  <c r="I486" i="6"/>
  <c r="I487" i="6"/>
  <c r="I488" i="6"/>
  <c r="I489" i="6"/>
  <c r="I490" i="6"/>
  <c r="I491" i="6"/>
  <c r="I492" i="6"/>
  <c r="I500" i="6"/>
  <c r="I501" i="6"/>
  <c r="I502" i="6"/>
  <c r="I503" i="6"/>
  <c r="I512" i="6"/>
  <c r="I513" i="6"/>
  <c r="I514" i="6"/>
  <c r="I515" i="6"/>
  <c r="I519" i="6"/>
  <c r="I529" i="6"/>
  <c r="I530" i="6"/>
  <c r="I531" i="6"/>
  <c r="I532" i="6"/>
  <c r="I533" i="6"/>
  <c r="I534" i="6"/>
  <c r="I535" i="6"/>
  <c r="I536" i="6"/>
  <c r="I538" i="6"/>
  <c r="I539" i="6"/>
  <c r="I547" i="6"/>
  <c r="I548" i="6"/>
  <c r="I549" i="6"/>
  <c r="I550" i="6"/>
  <c r="I552" i="6"/>
  <c r="I553" i="6"/>
  <c r="I555" i="6"/>
  <c r="I556" i="6"/>
  <c r="I557" i="6"/>
  <c r="I566" i="6"/>
  <c r="I567" i="6"/>
  <c r="I568" i="6"/>
  <c r="I570" i="6"/>
  <c r="I571" i="6"/>
  <c r="I572" i="6"/>
  <c r="I573" i="6"/>
  <c r="I584" i="6"/>
  <c r="I585" i="6"/>
  <c r="I586" i="6"/>
  <c r="I587" i="6"/>
  <c r="I588" i="6"/>
  <c r="I589" i="6"/>
  <c r="I590" i="6"/>
  <c r="I591" i="6"/>
  <c r="I599" i="6"/>
  <c r="I600" i="6"/>
  <c r="I601" i="6"/>
  <c r="I603" i="6"/>
  <c r="I604" i="6"/>
  <c r="I605" i="6"/>
  <c r="I606" i="6"/>
  <c r="I607" i="6"/>
  <c r="I608" i="6"/>
  <c r="I618" i="6"/>
  <c r="I619" i="6"/>
  <c r="I620" i="6"/>
  <c r="I621" i="6"/>
  <c r="I632" i="6"/>
  <c r="I644" i="6"/>
  <c r="I656" i="6"/>
  <c r="I657" i="6"/>
  <c r="I658" i="6"/>
  <c r="I659" i="6"/>
  <c r="I660" i="6"/>
  <c r="I661" i="6"/>
  <c r="I662" i="6"/>
  <c r="I664" i="6"/>
  <c r="I665" i="6"/>
  <c r="I674" i="6"/>
  <c r="I676" i="6"/>
  <c r="I677" i="6"/>
  <c r="I678" i="6"/>
  <c r="I679" i="6"/>
  <c r="I680" i="6"/>
  <c r="I681" i="6"/>
  <c r="I682" i="6"/>
  <c r="I691" i="6"/>
  <c r="I692" i="6"/>
  <c r="I693" i="6"/>
  <c r="I694" i="6"/>
  <c r="I696" i="6"/>
  <c r="I698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30" i="6"/>
  <c r="I731" i="6"/>
  <c r="I732" i="6"/>
  <c r="I734" i="6"/>
  <c r="I736" i="6"/>
  <c r="I737" i="6"/>
  <c r="I738" i="6"/>
  <c r="I747" i="6"/>
  <c r="I748" i="6"/>
  <c r="I749" i="6"/>
  <c r="I750" i="6"/>
  <c r="I751" i="6"/>
  <c r="I753" i="6"/>
  <c r="I754" i="6"/>
  <c r="I755" i="6"/>
  <c r="I756" i="6"/>
  <c r="I757" i="6"/>
  <c r="I758" i="6"/>
  <c r="I766" i="6"/>
  <c r="I775" i="6"/>
  <c r="I776" i="6"/>
  <c r="I777" i="6"/>
  <c r="I778" i="6"/>
  <c r="I779" i="6"/>
  <c r="I781" i="6"/>
  <c r="I782" i="6"/>
  <c r="I783" i="6"/>
  <c r="I784" i="6"/>
  <c r="I792" i="6"/>
  <c r="I793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C474" i="8" l="1"/>
  <c r="D594" i="6"/>
  <c r="E594" i="6"/>
  <c r="F594" i="6"/>
  <c r="G594" i="6"/>
  <c r="H594" i="6"/>
  <c r="C594" i="6"/>
  <c r="D156" i="4"/>
  <c r="E156" i="4"/>
  <c r="F156" i="4"/>
  <c r="K156" i="4" s="1"/>
  <c r="G156" i="4"/>
  <c r="H156" i="4"/>
  <c r="C156" i="4"/>
  <c r="D481" i="8"/>
  <c r="E481" i="8"/>
  <c r="F481" i="8"/>
  <c r="G481" i="8"/>
  <c r="H481" i="8"/>
  <c r="C481" i="8"/>
  <c r="D727" i="4"/>
  <c r="E727" i="4"/>
  <c r="F727" i="4"/>
  <c r="G727" i="4"/>
  <c r="H727" i="4"/>
  <c r="C727" i="4"/>
  <c r="C757" i="4" s="1"/>
  <c r="C45" i="2" s="1"/>
  <c r="D673" i="4"/>
  <c r="E673" i="4"/>
  <c r="F673" i="4"/>
  <c r="G673" i="4"/>
  <c r="H673" i="4"/>
  <c r="C673" i="4"/>
  <c r="C84" i="4"/>
  <c r="D670" i="4"/>
  <c r="E670" i="4"/>
  <c r="F670" i="4"/>
  <c r="G670" i="4"/>
  <c r="H670" i="4"/>
  <c r="C670" i="4"/>
  <c r="C803" i="4"/>
  <c r="C675" i="14" s="1"/>
  <c r="D721" i="4"/>
  <c r="E721" i="4"/>
  <c r="F721" i="4"/>
  <c r="G721" i="4"/>
  <c r="H721" i="4"/>
  <c r="D667" i="4"/>
  <c r="E667" i="4"/>
  <c r="F667" i="4"/>
  <c r="G667" i="4"/>
  <c r="H667" i="4"/>
  <c r="C667" i="4"/>
  <c r="D238" i="8"/>
  <c r="E238" i="8"/>
  <c r="F238" i="8"/>
  <c r="G238" i="8"/>
  <c r="H238" i="8"/>
  <c r="C238" i="8"/>
  <c r="D236" i="8"/>
  <c r="E236" i="8"/>
  <c r="F236" i="8"/>
  <c r="G236" i="8"/>
  <c r="H236" i="8"/>
  <c r="C236" i="8"/>
  <c r="D235" i="8"/>
  <c r="E235" i="8"/>
  <c r="F235" i="8"/>
  <c r="G235" i="8"/>
  <c r="H235" i="8"/>
  <c r="C235" i="8"/>
  <c r="D581" i="8"/>
  <c r="E581" i="8"/>
  <c r="F581" i="8"/>
  <c r="G581" i="8"/>
  <c r="H581" i="8"/>
  <c r="C581" i="8"/>
  <c r="D580" i="8"/>
  <c r="E580" i="8"/>
  <c r="G580" i="8"/>
  <c r="H580" i="8"/>
  <c r="C580" i="8"/>
  <c r="C570" i="8"/>
  <c r="C703" i="4" l="1"/>
  <c r="C44" i="2" s="1"/>
  <c r="D703" i="4"/>
  <c r="H703" i="4"/>
  <c r="E703" i="4"/>
  <c r="F703" i="4"/>
  <c r="D803" i="4"/>
  <c r="D675" i="14" s="1"/>
  <c r="E803" i="4"/>
  <c r="E675" i="14" s="1"/>
  <c r="F803" i="4"/>
  <c r="F675" i="14" s="1"/>
  <c r="H803" i="4"/>
  <c r="H675" i="14" s="1"/>
  <c r="D469" i="8" l="1"/>
  <c r="E469" i="8"/>
  <c r="F469" i="8"/>
  <c r="G469" i="8"/>
  <c r="H469" i="8"/>
  <c r="C469" i="8"/>
  <c r="D464" i="8"/>
  <c r="E464" i="8"/>
  <c r="F464" i="8"/>
  <c r="G464" i="8"/>
  <c r="H464" i="8"/>
  <c r="C464" i="8"/>
  <c r="C465" i="8"/>
  <c r="C466" i="8"/>
  <c r="C467" i="8"/>
  <c r="C468" i="8"/>
  <c r="C470" i="8"/>
  <c r="C471" i="8"/>
  <c r="C472" i="8"/>
  <c r="C473" i="8"/>
  <c r="C475" i="8"/>
  <c r="C476" i="8"/>
  <c r="C477" i="8"/>
  <c r="C478" i="8"/>
  <c r="C479" i="8"/>
  <c r="C480" i="8"/>
  <c r="G483" i="8"/>
  <c r="G482" i="8"/>
  <c r="D476" i="8"/>
  <c r="E476" i="8"/>
  <c r="F476" i="8"/>
  <c r="G476" i="8"/>
  <c r="H476" i="8"/>
  <c r="D478" i="8"/>
  <c r="E478" i="8"/>
  <c r="F478" i="8"/>
  <c r="G478" i="8"/>
  <c r="H478" i="8"/>
  <c r="D473" i="8"/>
  <c r="D450" i="14" s="1"/>
  <c r="E473" i="8"/>
  <c r="E450" i="14" s="1"/>
  <c r="F473" i="8"/>
  <c r="F450" i="14" s="1"/>
  <c r="G473" i="8"/>
  <c r="G450" i="14" s="1"/>
  <c r="H473" i="8"/>
  <c r="D470" i="8"/>
  <c r="E470" i="8"/>
  <c r="F470" i="8"/>
  <c r="G470" i="8"/>
  <c r="H470" i="8"/>
  <c r="D479" i="8"/>
  <c r="E479" i="8"/>
  <c r="F479" i="8"/>
  <c r="G479" i="8"/>
  <c r="H479" i="8"/>
  <c r="D468" i="8"/>
  <c r="D161" i="14" s="1"/>
  <c r="E468" i="8"/>
  <c r="E161" i="14" s="1"/>
  <c r="F468" i="8"/>
  <c r="F161" i="14" s="1"/>
  <c r="G468" i="8"/>
  <c r="G161" i="14" s="1"/>
  <c r="H468" i="8"/>
  <c r="H161" i="14" s="1"/>
  <c r="D467" i="8"/>
  <c r="E467" i="8"/>
  <c r="F467" i="8"/>
  <c r="G467" i="8"/>
  <c r="H467" i="8"/>
  <c r="D466" i="8"/>
  <c r="E466" i="8"/>
  <c r="F466" i="8"/>
  <c r="G466" i="8"/>
  <c r="H466" i="8"/>
  <c r="K9" i="6"/>
  <c r="K10" i="6"/>
  <c r="K11" i="6"/>
  <c r="K12" i="6"/>
  <c r="K13" i="6"/>
  <c r="K14" i="6"/>
  <c r="K15" i="6"/>
  <c r="K16" i="6"/>
  <c r="K17" i="6"/>
  <c r="K8" i="6"/>
  <c r="I8" i="6"/>
  <c r="D158" i="8"/>
  <c r="D442" i="14" s="1"/>
  <c r="E158" i="8"/>
  <c r="E442" i="14" s="1"/>
  <c r="F158" i="8"/>
  <c r="F442" i="14" s="1"/>
  <c r="G158" i="8"/>
  <c r="G442" i="14" s="1"/>
  <c r="H158" i="8"/>
  <c r="H442" i="14" s="1"/>
  <c r="C158" i="8"/>
  <c r="C442" i="14" s="1"/>
  <c r="D157" i="8"/>
  <c r="E157" i="8"/>
  <c r="F157" i="8"/>
  <c r="G157" i="8"/>
  <c r="H157" i="8"/>
  <c r="C157" i="8"/>
  <c r="D156" i="8"/>
  <c r="E156" i="8"/>
  <c r="F156" i="8"/>
  <c r="G156" i="8"/>
  <c r="H156" i="8"/>
  <c r="C156" i="8"/>
  <c r="D152" i="8"/>
  <c r="E152" i="8"/>
  <c r="F152" i="8"/>
  <c r="G152" i="8"/>
  <c r="H152" i="8"/>
  <c r="C152" i="8"/>
  <c r="C155" i="8"/>
  <c r="C151" i="8"/>
  <c r="D160" i="8"/>
  <c r="E160" i="8"/>
  <c r="F160" i="8"/>
  <c r="G160" i="8"/>
  <c r="H160" i="8"/>
  <c r="C160" i="8"/>
  <c r="D159" i="8"/>
  <c r="E159" i="8"/>
  <c r="F159" i="8"/>
  <c r="G159" i="8"/>
  <c r="H159" i="8"/>
  <c r="C159" i="8"/>
  <c r="D218" i="8"/>
  <c r="E218" i="8"/>
  <c r="F218" i="8"/>
  <c r="G218" i="8"/>
  <c r="H218" i="8"/>
  <c r="D217" i="8"/>
  <c r="E217" i="8"/>
  <c r="F217" i="8"/>
  <c r="G217" i="8"/>
  <c r="H217" i="8"/>
  <c r="D216" i="8"/>
  <c r="E216" i="8"/>
  <c r="F216" i="8"/>
  <c r="G216" i="8"/>
  <c r="H216" i="8"/>
  <c r="D215" i="8"/>
  <c r="E215" i="8"/>
  <c r="F215" i="8"/>
  <c r="G215" i="8"/>
  <c r="H215" i="8"/>
  <c r="D214" i="8"/>
  <c r="E214" i="8"/>
  <c r="F214" i="8"/>
  <c r="G214" i="8"/>
  <c r="H214" i="8"/>
  <c r="D213" i="8"/>
  <c r="E213" i="8"/>
  <c r="F213" i="8"/>
  <c r="G213" i="8"/>
  <c r="H213" i="8"/>
  <c r="D212" i="8"/>
  <c r="E212" i="8"/>
  <c r="F212" i="8"/>
  <c r="G212" i="8"/>
  <c r="H212" i="8"/>
  <c r="D211" i="8"/>
  <c r="E211" i="8"/>
  <c r="F211" i="8"/>
  <c r="G211" i="8"/>
  <c r="H211" i="8"/>
  <c r="D210" i="8"/>
  <c r="E210" i="8"/>
  <c r="F210" i="8"/>
  <c r="G210" i="8"/>
  <c r="H210" i="8"/>
  <c r="D209" i="8"/>
  <c r="D208" i="14" s="1"/>
  <c r="E209" i="8"/>
  <c r="E208" i="14" s="1"/>
  <c r="F209" i="8"/>
  <c r="F208" i="14" s="1"/>
  <c r="G209" i="8"/>
  <c r="G208" i="14" s="1"/>
  <c r="H209" i="8"/>
  <c r="H208" i="14" s="1"/>
  <c r="D208" i="8"/>
  <c r="E208" i="8"/>
  <c r="F208" i="8"/>
  <c r="G208" i="8"/>
  <c r="H208" i="8"/>
  <c r="D207" i="8"/>
  <c r="E207" i="8"/>
  <c r="F207" i="8"/>
  <c r="G207" i="8"/>
  <c r="H207" i="8"/>
  <c r="C207" i="8"/>
  <c r="C208" i="8"/>
  <c r="C209" i="8"/>
  <c r="C210" i="8"/>
  <c r="C211" i="8"/>
  <c r="C212" i="8"/>
  <c r="C213" i="8"/>
  <c r="C214" i="8"/>
  <c r="C215" i="8"/>
  <c r="C216" i="8"/>
  <c r="C24" i="14" s="1"/>
  <c r="C217" i="8"/>
  <c r="C218" i="8"/>
  <c r="D206" i="8"/>
  <c r="E206" i="8"/>
  <c r="F206" i="8"/>
  <c r="G206" i="8"/>
  <c r="H206" i="8"/>
  <c r="C206" i="8"/>
  <c r="D205" i="8"/>
  <c r="E205" i="8"/>
  <c r="F205" i="8"/>
  <c r="G205" i="8"/>
  <c r="H205" i="8"/>
  <c r="C205" i="8"/>
  <c r="D633" i="4"/>
  <c r="E633" i="4"/>
  <c r="F633" i="4"/>
  <c r="K633" i="4" s="1"/>
  <c r="G633" i="4"/>
  <c r="H633" i="4"/>
  <c r="C633" i="4"/>
  <c r="D619" i="4"/>
  <c r="E619" i="4"/>
  <c r="F619" i="4"/>
  <c r="K619" i="4" s="1"/>
  <c r="G619" i="4"/>
  <c r="H619" i="4"/>
  <c r="C619" i="4"/>
  <c r="D618" i="4"/>
  <c r="E618" i="4"/>
  <c r="F618" i="4"/>
  <c r="K618" i="4" s="1"/>
  <c r="G618" i="4"/>
  <c r="H618" i="4"/>
  <c r="C618" i="4"/>
  <c r="D600" i="4"/>
  <c r="E600" i="4"/>
  <c r="F600" i="4"/>
  <c r="K600" i="4" s="1"/>
  <c r="G600" i="4"/>
  <c r="H600" i="4"/>
  <c r="C600" i="4"/>
  <c r="D598" i="4"/>
  <c r="E598" i="4"/>
  <c r="F598" i="4"/>
  <c r="K598" i="4" s="1"/>
  <c r="G598" i="4"/>
  <c r="H598" i="4"/>
  <c r="C598" i="4"/>
  <c r="D571" i="4"/>
  <c r="E571" i="4"/>
  <c r="F571" i="4"/>
  <c r="K571" i="4" s="1"/>
  <c r="G571" i="4"/>
  <c r="H571" i="4"/>
  <c r="C571" i="4"/>
  <c r="D568" i="4"/>
  <c r="E568" i="4"/>
  <c r="F568" i="4"/>
  <c r="K568" i="4" s="1"/>
  <c r="G568" i="4"/>
  <c r="H568" i="4"/>
  <c r="C568" i="4"/>
  <c r="D524" i="4"/>
  <c r="E524" i="4"/>
  <c r="F524" i="4"/>
  <c r="K524" i="4" s="1"/>
  <c r="G524" i="4"/>
  <c r="H524" i="4"/>
  <c r="C524" i="4"/>
  <c r="D518" i="4"/>
  <c r="E518" i="4"/>
  <c r="F518" i="4"/>
  <c r="K518" i="4" s="1"/>
  <c r="G518" i="4"/>
  <c r="H518" i="4"/>
  <c r="C518" i="4"/>
  <c r="D504" i="4"/>
  <c r="E504" i="4"/>
  <c r="F504" i="4"/>
  <c r="K504" i="4" s="1"/>
  <c r="G504" i="4"/>
  <c r="H504" i="4"/>
  <c r="C504" i="4"/>
  <c r="D475" i="4"/>
  <c r="E475" i="4"/>
  <c r="F475" i="4"/>
  <c r="K475" i="4" s="1"/>
  <c r="G475" i="4"/>
  <c r="H475" i="4"/>
  <c r="C475" i="4"/>
  <c r="D459" i="4"/>
  <c r="E459" i="4"/>
  <c r="F459" i="4"/>
  <c r="K459" i="4" s="1"/>
  <c r="G459" i="4"/>
  <c r="H459" i="4"/>
  <c r="C459" i="4"/>
  <c r="D451" i="4"/>
  <c r="E451" i="4"/>
  <c r="F451" i="4"/>
  <c r="K451" i="4" s="1"/>
  <c r="G451" i="4"/>
  <c r="H451" i="4"/>
  <c r="C451" i="4"/>
  <c r="D420" i="4"/>
  <c r="E420" i="4"/>
  <c r="F420" i="4"/>
  <c r="K420" i="4" s="1"/>
  <c r="G420" i="4"/>
  <c r="H420" i="4"/>
  <c r="C420" i="4"/>
  <c r="D397" i="4"/>
  <c r="E397" i="4"/>
  <c r="F397" i="4"/>
  <c r="K397" i="4" s="1"/>
  <c r="G397" i="4"/>
  <c r="H397" i="4"/>
  <c r="C397" i="4"/>
  <c r="D360" i="4"/>
  <c r="E360" i="4"/>
  <c r="F360" i="4"/>
  <c r="K360" i="4" s="1"/>
  <c r="G360" i="4"/>
  <c r="H360" i="4"/>
  <c r="C360" i="4"/>
  <c r="D357" i="4"/>
  <c r="E357" i="4"/>
  <c r="F357" i="4"/>
  <c r="K357" i="4" s="1"/>
  <c r="G357" i="4"/>
  <c r="H357" i="4"/>
  <c r="C357" i="4"/>
  <c r="D348" i="4"/>
  <c r="E348" i="4"/>
  <c r="F348" i="4"/>
  <c r="K348" i="4" s="1"/>
  <c r="G348" i="4"/>
  <c r="H348" i="4"/>
  <c r="C348" i="4"/>
  <c r="D321" i="4"/>
  <c r="E321" i="4"/>
  <c r="F321" i="4"/>
  <c r="K321" i="4" s="1"/>
  <c r="G321" i="4"/>
  <c r="H321" i="4"/>
  <c r="C321" i="4"/>
  <c r="D318" i="4"/>
  <c r="E318" i="4"/>
  <c r="F318" i="4"/>
  <c r="K318" i="4" s="1"/>
  <c r="G318" i="4"/>
  <c r="H318" i="4"/>
  <c r="C318" i="4"/>
  <c r="D311" i="4"/>
  <c r="E311" i="4"/>
  <c r="F311" i="4"/>
  <c r="K311" i="4" s="1"/>
  <c r="G311" i="4"/>
  <c r="H311" i="4"/>
  <c r="C311" i="4"/>
  <c r="D278" i="4"/>
  <c r="E278" i="4"/>
  <c r="F278" i="4"/>
  <c r="K278" i="4" s="1"/>
  <c r="G278" i="4"/>
  <c r="H278" i="4"/>
  <c r="C278" i="4"/>
  <c r="D238" i="4"/>
  <c r="E238" i="4"/>
  <c r="F238" i="4"/>
  <c r="K238" i="4" s="1"/>
  <c r="G238" i="4"/>
  <c r="H238" i="4"/>
  <c r="C238" i="4"/>
  <c r="D236" i="4"/>
  <c r="E236" i="4"/>
  <c r="F236" i="4"/>
  <c r="K236" i="4" s="1"/>
  <c r="G236" i="4"/>
  <c r="H236" i="4"/>
  <c r="C236" i="4"/>
  <c r="D225" i="4"/>
  <c r="E225" i="4"/>
  <c r="F225" i="4"/>
  <c r="K225" i="4" s="1"/>
  <c r="G225" i="4"/>
  <c r="H225" i="4"/>
  <c r="C225" i="4"/>
  <c r="D171" i="4"/>
  <c r="E171" i="4"/>
  <c r="F171" i="4"/>
  <c r="K171" i="4" s="1"/>
  <c r="G171" i="4"/>
  <c r="H171" i="4"/>
  <c r="C171" i="4"/>
  <c r="D126" i="4"/>
  <c r="E126" i="4"/>
  <c r="F126" i="4"/>
  <c r="K126" i="4" s="1"/>
  <c r="G126" i="4"/>
  <c r="H126" i="4"/>
  <c r="C126" i="4"/>
  <c r="D76" i="4"/>
  <c r="E76" i="4"/>
  <c r="F76" i="4"/>
  <c r="K76" i="4" s="1"/>
  <c r="G76" i="4"/>
  <c r="H76" i="4"/>
  <c r="C76" i="4"/>
  <c r="D39" i="4"/>
  <c r="E39" i="4"/>
  <c r="F39" i="4"/>
  <c r="K39" i="4" s="1"/>
  <c r="G39" i="4"/>
  <c r="H39" i="4"/>
  <c r="C39" i="4"/>
  <c r="D285" i="6"/>
  <c r="E285" i="6"/>
  <c r="F285" i="6"/>
  <c r="G285" i="6"/>
  <c r="H285" i="6"/>
  <c r="C285" i="6"/>
  <c r="D227" i="6"/>
  <c r="E227" i="6"/>
  <c r="F227" i="6"/>
  <c r="G227" i="6"/>
  <c r="H227" i="6"/>
  <c r="C227" i="6"/>
  <c r="D20" i="6"/>
  <c r="E20" i="6"/>
  <c r="F20" i="6"/>
  <c r="G20" i="6"/>
  <c r="H20" i="6"/>
  <c r="C20" i="6"/>
  <c r="D219" i="8" l="1"/>
  <c r="D303" i="8"/>
  <c r="E303" i="8"/>
  <c r="F303" i="8"/>
  <c r="G303" i="8"/>
  <c r="H303" i="8"/>
  <c r="C303" i="8"/>
  <c r="D302" i="8"/>
  <c r="E302" i="8"/>
  <c r="F302" i="8"/>
  <c r="G302" i="8"/>
  <c r="H302" i="8"/>
  <c r="C302" i="8"/>
  <c r="D244" i="8"/>
  <c r="E244" i="8"/>
  <c r="F244" i="8"/>
  <c r="G244" i="8"/>
  <c r="H244" i="8"/>
  <c r="C244" i="8"/>
  <c r="D243" i="8"/>
  <c r="E243" i="8"/>
  <c r="F243" i="8"/>
  <c r="G243" i="8"/>
  <c r="H243" i="8"/>
  <c r="C243" i="8"/>
  <c r="D242" i="8"/>
  <c r="E242" i="8"/>
  <c r="F242" i="8"/>
  <c r="G242" i="8"/>
  <c r="H242" i="8"/>
  <c r="C242" i="8"/>
  <c r="D57" i="8"/>
  <c r="E57" i="8"/>
  <c r="F57" i="8"/>
  <c r="G57" i="8"/>
  <c r="H57" i="8"/>
  <c r="C57" i="8"/>
  <c r="D56" i="8"/>
  <c r="E56" i="8"/>
  <c r="F56" i="8"/>
  <c r="G56" i="8"/>
  <c r="H56" i="8"/>
  <c r="C56" i="8"/>
  <c r="G419" i="8"/>
  <c r="G418" i="8"/>
  <c r="D415" i="8"/>
  <c r="E415" i="8"/>
  <c r="F415" i="8"/>
  <c r="G415" i="8"/>
  <c r="H415" i="8"/>
  <c r="C415" i="8"/>
  <c r="D414" i="8"/>
  <c r="E414" i="8"/>
  <c r="F414" i="8"/>
  <c r="G414" i="8"/>
  <c r="H414" i="8"/>
  <c r="C414" i="8"/>
  <c r="D413" i="8"/>
  <c r="D159" i="14" s="1"/>
  <c r="E413" i="8"/>
  <c r="E159" i="14" s="1"/>
  <c r="F413" i="8"/>
  <c r="F159" i="14" s="1"/>
  <c r="G413" i="8"/>
  <c r="G159" i="14" s="1"/>
  <c r="H413" i="8"/>
  <c r="H159" i="14" s="1"/>
  <c r="C413" i="8"/>
  <c r="D412" i="8"/>
  <c r="E412" i="8"/>
  <c r="F412" i="8"/>
  <c r="G412" i="8"/>
  <c r="H412" i="8"/>
  <c r="C412" i="8"/>
  <c r="D409" i="8"/>
  <c r="E409" i="8"/>
  <c r="F409" i="8"/>
  <c r="G409" i="8"/>
  <c r="H409" i="8"/>
  <c r="C409" i="8"/>
  <c r="D406" i="8"/>
  <c r="E406" i="8"/>
  <c r="F406" i="8"/>
  <c r="G406" i="8"/>
  <c r="H406" i="8"/>
  <c r="C406" i="8"/>
  <c r="D408" i="8"/>
  <c r="D278" i="14" s="1"/>
  <c r="E408" i="8"/>
  <c r="E278" i="14" s="1"/>
  <c r="F408" i="8"/>
  <c r="F278" i="14" s="1"/>
  <c r="G408" i="8"/>
  <c r="G278" i="14" s="1"/>
  <c r="H408" i="8"/>
  <c r="H278" i="14" s="1"/>
  <c r="D405" i="8"/>
  <c r="D244" i="14" s="1"/>
  <c r="E405" i="8"/>
  <c r="E244" i="14" s="1"/>
  <c r="F405" i="8"/>
  <c r="F244" i="14" s="1"/>
  <c r="G405" i="8"/>
  <c r="G244" i="14" s="1"/>
  <c r="H405" i="8"/>
  <c r="H244" i="14" s="1"/>
  <c r="C405" i="8"/>
  <c r="D363" i="4"/>
  <c r="E363" i="4"/>
  <c r="F363" i="4"/>
  <c r="K363" i="4" s="1"/>
  <c r="G363" i="4"/>
  <c r="H363" i="4"/>
  <c r="C363" i="4"/>
  <c r="D280" i="4"/>
  <c r="E280" i="4"/>
  <c r="F280" i="4"/>
  <c r="K280" i="4" s="1"/>
  <c r="G280" i="4"/>
  <c r="H280" i="4"/>
  <c r="C280" i="4"/>
  <c r="D241" i="4"/>
  <c r="E241" i="4"/>
  <c r="F241" i="4"/>
  <c r="K241" i="4" s="1"/>
  <c r="G241" i="4"/>
  <c r="H241" i="4"/>
  <c r="C241" i="4"/>
  <c r="D218" i="4"/>
  <c r="E218" i="4"/>
  <c r="F218" i="4"/>
  <c r="K218" i="4" s="1"/>
  <c r="G218" i="4"/>
  <c r="H218" i="4"/>
  <c r="C218" i="4"/>
  <c r="D178" i="4"/>
  <c r="E178" i="4"/>
  <c r="F178" i="4"/>
  <c r="G178" i="4"/>
  <c r="H178" i="4"/>
  <c r="C178" i="4"/>
  <c r="D533" i="4"/>
  <c r="E533" i="4"/>
  <c r="F533" i="4"/>
  <c r="K533" i="4" s="1"/>
  <c r="G533" i="4"/>
  <c r="H533" i="4"/>
  <c r="C533" i="4"/>
  <c r="D80" i="4"/>
  <c r="E80" i="4"/>
  <c r="F80" i="4"/>
  <c r="K80" i="4" s="1"/>
  <c r="G80" i="4"/>
  <c r="H80" i="4"/>
  <c r="C80" i="4"/>
  <c r="H495" i="6"/>
  <c r="G495" i="6"/>
  <c r="F495" i="6"/>
  <c r="E495" i="6"/>
  <c r="D495" i="6"/>
  <c r="C495" i="6"/>
  <c r="D325" i="6"/>
  <c r="E325" i="6"/>
  <c r="F325" i="6"/>
  <c r="G325" i="6"/>
  <c r="H325" i="6"/>
  <c r="C325" i="6"/>
  <c r="C377" i="6"/>
  <c r="D377" i="6"/>
  <c r="E377" i="6"/>
  <c r="F377" i="6"/>
  <c r="G377" i="6"/>
  <c r="H377" i="6"/>
  <c r="D295" i="8"/>
  <c r="D446" i="14" s="1"/>
  <c r="E295" i="8"/>
  <c r="E446" i="14" s="1"/>
  <c r="F295" i="8"/>
  <c r="F446" i="14" s="1"/>
  <c r="G295" i="8"/>
  <c r="G446" i="14" s="1"/>
  <c r="H295" i="8"/>
  <c r="H446" i="14" s="1"/>
  <c r="K178" i="4" l="1"/>
  <c r="D298" i="8"/>
  <c r="D210" i="14" s="1"/>
  <c r="E298" i="8"/>
  <c r="E210" i="14" s="1"/>
  <c r="F298" i="8"/>
  <c r="F210" i="14" s="1"/>
  <c r="G298" i="8"/>
  <c r="G210" i="14" s="1"/>
  <c r="H298" i="8"/>
  <c r="H210" i="14" s="1"/>
  <c r="C298" i="8"/>
  <c r="D289" i="8" l="1"/>
  <c r="E289" i="8"/>
  <c r="F289" i="8"/>
  <c r="G289" i="8"/>
  <c r="H289" i="8"/>
  <c r="C289" i="8"/>
  <c r="D282" i="8"/>
  <c r="E282" i="8"/>
  <c r="F282" i="8"/>
  <c r="G282" i="8"/>
  <c r="H282" i="8"/>
  <c r="D89" i="7"/>
  <c r="E89" i="7"/>
  <c r="F89" i="7"/>
  <c r="G89" i="7"/>
  <c r="H89" i="7"/>
  <c r="C282" i="8"/>
  <c r="C89" i="7"/>
  <c r="C88" i="7"/>
  <c r="D24" i="14"/>
  <c r="E24" i="14"/>
  <c r="F24" i="14"/>
  <c r="G24" i="14"/>
  <c r="H24" i="14"/>
  <c r="D378" i="14"/>
  <c r="E378" i="14"/>
  <c r="F378" i="14"/>
  <c r="G378" i="14"/>
  <c r="H378" i="14"/>
  <c r="C378" i="14"/>
  <c r="D611" i="4"/>
  <c r="E611" i="4"/>
  <c r="F611" i="4"/>
  <c r="K611" i="4" s="1"/>
  <c r="G611" i="4"/>
  <c r="H611" i="4"/>
  <c r="C611" i="4"/>
  <c r="D417" i="8"/>
  <c r="D518" i="14" s="1"/>
  <c r="E417" i="8"/>
  <c r="E518" i="14" s="1"/>
  <c r="F417" i="8"/>
  <c r="F518" i="14" s="1"/>
  <c r="G417" i="8"/>
  <c r="G518" i="14" s="1"/>
  <c r="H417" i="8"/>
  <c r="H518" i="14" s="1"/>
  <c r="C417" i="8"/>
  <c r="C518" i="14" s="1"/>
  <c r="D360" i="14"/>
  <c r="E360" i="14"/>
  <c r="F360" i="14"/>
  <c r="G360" i="14"/>
  <c r="H360" i="14"/>
  <c r="C360" i="14"/>
  <c r="D18" i="1" l="1"/>
  <c r="H18" i="1"/>
  <c r="D138" i="4"/>
  <c r="E138" i="4"/>
  <c r="F138" i="4"/>
  <c r="K138" i="4" s="1"/>
  <c r="G138" i="4"/>
  <c r="H138" i="4"/>
  <c r="C138" i="4"/>
  <c r="C586" i="8"/>
  <c r="D586" i="8"/>
  <c r="E586" i="8"/>
  <c r="F586" i="8"/>
  <c r="G586" i="8"/>
  <c r="H586" i="8"/>
  <c r="H122" i="14" s="1"/>
  <c r="D539" i="4"/>
  <c r="E539" i="4"/>
  <c r="F539" i="4"/>
  <c r="K539" i="4" s="1"/>
  <c r="G539" i="4"/>
  <c r="H539" i="4"/>
  <c r="C539" i="4"/>
  <c r="D542" i="4"/>
  <c r="E542" i="4"/>
  <c r="F542" i="4"/>
  <c r="K542" i="4" s="1"/>
  <c r="G542" i="4"/>
  <c r="H542" i="4"/>
  <c r="C542" i="4"/>
  <c r="D510" i="4"/>
  <c r="E510" i="4"/>
  <c r="F510" i="4"/>
  <c r="K510" i="4" s="1"/>
  <c r="G510" i="4"/>
  <c r="H510" i="4"/>
  <c r="C510" i="4"/>
  <c r="D590" i="8"/>
  <c r="D433" i="14" s="1"/>
  <c r="E590" i="8"/>
  <c r="E433" i="14" s="1"/>
  <c r="F590" i="8"/>
  <c r="F433" i="14" s="1"/>
  <c r="G590" i="8"/>
  <c r="G433" i="14" s="1"/>
  <c r="H590" i="8"/>
  <c r="H433" i="14" s="1"/>
  <c r="C590" i="8"/>
  <c r="C433" i="14" s="1"/>
  <c r="D455" i="14"/>
  <c r="E455" i="14"/>
  <c r="F455" i="14"/>
  <c r="G455" i="14"/>
  <c r="H455" i="14"/>
  <c r="C455" i="14"/>
  <c r="D737" i="4"/>
  <c r="D757" i="4" s="1"/>
  <c r="D45" i="2" s="1"/>
  <c r="E737" i="4"/>
  <c r="E757" i="4" s="1"/>
  <c r="E45" i="2" s="1"/>
  <c r="F737" i="4"/>
  <c r="F757" i="4" s="1"/>
  <c r="F45" i="2" s="1"/>
  <c r="G737" i="4"/>
  <c r="H737" i="4"/>
  <c r="H757" i="4" s="1"/>
  <c r="H45" i="2" s="1"/>
  <c r="D98" i="7"/>
  <c r="E98" i="7"/>
  <c r="F98" i="7"/>
  <c r="G98" i="7"/>
  <c r="H98" i="7"/>
  <c r="D148" i="3"/>
  <c r="E148" i="3"/>
  <c r="F148" i="3"/>
  <c r="G148" i="3"/>
  <c r="H148" i="3"/>
  <c r="J142" i="3"/>
  <c r="J245" i="3"/>
  <c r="G112" i="5"/>
  <c r="D272" i="8"/>
  <c r="E272" i="8"/>
  <c r="F272" i="8"/>
  <c r="G272" i="8"/>
  <c r="D426" i="4"/>
  <c r="E426" i="4"/>
  <c r="F426" i="4"/>
  <c r="K426" i="4" s="1"/>
  <c r="G426" i="4"/>
  <c r="H426" i="4"/>
  <c r="D421" i="4"/>
  <c r="E421" i="4"/>
  <c r="F421" i="4"/>
  <c r="G421" i="4"/>
  <c r="I14" i="5"/>
  <c r="I15" i="5"/>
  <c r="I16" i="5"/>
  <c r="I17" i="5"/>
  <c r="I32" i="5"/>
  <c r="I33" i="5"/>
  <c r="I40" i="5"/>
  <c r="I41" i="5"/>
  <c r="I47" i="5"/>
  <c r="I48" i="5"/>
  <c r="I49" i="5"/>
  <c r="I50" i="5"/>
  <c r="I71" i="5"/>
  <c r="I95" i="5"/>
  <c r="I102" i="5"/>
  <c r="I110" i="5"/>
  <c r="I111" i="5"/>
  <c r="I123" i="5"/>
  <c r="I124" i="5"/>
  <c r="I125" i="5"/>
  <c r="I139" i="5"/>
  <c r="I145" i="5"/>
  <c r="I146" i="5"/>
  <c r="I147" i="5"/>
  <c r="I148" i="5"/>
  <c r="I155" i="5"/>
  <c r="I156" i="5"/>
  <c r="I162" i="5"/>
  <c r="I168" i="5"/>
  <c r="I169" i="5"/>
  <c r="I176" i="5"/>
  <c r="I177" i="5"/>
  <c r="I178" i="5"/>
  <c r="I185" i="5"/>
  <c r="I191" i="5"/>
  <c r="I192" i="5"/>
  <c r="I199" i="5"/>
  <c r="I200" i="5"/>
  <c r="I201" i="5"/>
  <c r="I208" i="5"/>
  <c r="I222" i="5"/>
  <c r="I223" i="5"/>
  <c r="I224" i="5"/>
  <c r="I227" i="5"/>
  <c r="I228" i="5"/>
  <c r="I229" i="5"/>
  <c r="D674" i="14"/>
  <c r="E674" i="14"/>
  <c r="F674" i="14"/>
  <c r="H674" i="14"/>
  <c r="C674" i="14"/>
  <c r="K421" i="4" l="1"/>
  <c r="D286" i="8"/>
  <c r="D258" i="14" s="1"/>
  <c r="E286" i="8"/>
  <c r="E258" i="14" s="1"/>
  <c r="F286" i="8"/>
  <c r="F258" i="14" s="1"/>
  <c r="G286" i="8"/>
  <c r="G258" i="14" s="1"/>
  <c r="H286" i="8"/>
  <c r="H258" i="14" s="1"/>
  <c r="C286" i="8"/>
  <c r="C258" i="14" s="1"/>
  <c r="D285" i="8"/>
  <c r="E285" i="8"/>
  <c r="F285" i="8"/>
  <c r="G285" i="8"/>
  <c r="H285" i="8"/>
  <c r="C285" i="8"/>
  <c r="H284" i="14"/>
  <c r="D70" i="14"/>
  <c r="E70" i="14"/>
  <c r="F70" i="14"/>
  <c r="G70" i="14"/>
  <c r="H70" i="14"/>
  <c r="C70" i="14"/>
  <c r="D90" i="7"/>
  <c r="E90" i="7"/>
  <c r="F90" i="7"/>
  <c r="G90" i="7"/>
  <c r="H90" i="7"/>
  <c r="D88" i="7"/>
  <c r="E88" i="7"/>
  <c r="F88" i="7"/>
  <c r="G88" i="7"/>
  <c r="H88" i="7"/>
  <c r="C90" i="7"/>
  <c r="G573" i="14"/>
  <c r="D301" i="8"/>
  <c r="D527" i="14" s="1"/>
  <c r="E301" i="8"/>
  <c r="E527" i="14" s="1"/>
  <c r="F301" i="8"/>
  <c r="F527" i="14" s="1"/>
  <c r="G301" i="8"/>
  <c r="G527" i="14" s="1"/>
  <c r="H301" i="8"/>
  <c r="H527" i="14" s="1"/>
  <c r="C301" i="8"/>
  <c r="C527" i="14" s="1"/>
  <c r="D105" i="5"/>
  <c r="E105" i="5"/>
  <c r="F105" i="5"/>
  <c r="G105" i="5"/>
  <c r="H105" i="5"/>
  <c r="C105" i="5"/>
  <c r="A761" i="4"/>
  <c r="A3" i="2"/>
  <c r="A3" i="3"/>
  <c r="A3" i="21" s="1"/>
  <c r="I52" i="16"/>
  <c r="H52" i="16"/>
  <c r="G52" i="16"/>
  <c r="I51" i="16"/>
  <c r="H51" i="16"/>
  <c r="G51" i="16"/>
  <c r="I50" i="16"/>
  <c r="H50" i="16"/>
  <c r="G50" i="16"/>
  <c r="I49" i="16"/>
  <c r="H49" i="16"/>
  <c r="G49" i="16"/>
  <c r="I48" i="16"/>
  <c r="H48" i="16"/>
  <c r="G48" i="16"/>
  <c r="I47" i="16"/>
  <c r="H47" i="16"/>
  <c r="G47" i="16"/>
  <c r="I46" i="16"/>
  <c r="H46" i="16"/>
  <c r="G46" i="16"/>
  <c r="I45" i="16"/>
  <c r="H45" i="16"/>
  <c r="G45" i="16"/>
  <c r="I44" i="16"/>
  <c r="H44" i="16"/>
  <c r="G44" i="16"/>
  <c r="I43" i="16"/>
  <c r="H43" i="16"/>
  <c r="G43" i="16"/>
  <c r="I42" i="16"/>
  <c r="H42" i="16"/>
  <c r="G42" i="16"/>
  <c r="I41" i="16"/>
  <c r="H41" i="16"/>
  <c r="G41" i="16"/>
  <c r="I39" i="16"/>
  <c r="H39" i="16"/>
  <c r="G39" i="16"/>
  <c r="I38" i="16"/>
  <c r="H38" i="16"/>
  <c r="G38" i="16"/>
  <c r="I37" i="16"/>
  <c r="H37" i="16"/>
  <c r="G37" i="16"/>
  <c r="I36" i="16"/>
  <c r="H36" i="16"/>
  <c r="G36" i="16"/>
  <c r="I35" i="16"/>
  <c r="H35" i="16"/>
  <c r="G35" i="16"/>
  <c r="I34" i="16"/>
  <c r="H34" i="16"/>
  <c r="G34" i="16"/>
  <c r="I33" i="16"/>
  <c r="H33" i="16"/>
  <c r="G33" i="16"/>
  <c r="I32" i="16"/>
  <c r="H32" i="16"/>
  <c r="G32" i="16"/>
  <c r="I31" i="16"/>
  <c r="H31" i="16"/>
  <c r="G31" i="16"/>
  <c r="I30" i="16"/>
  <c r="H30" i="16"/>
  <c r="G30" i="16"/>
  <c r="I29" i="16"/>
  <c r="H29" i="16"/>
  <c r="G29" i="16"/>
  <c r="I9" i="16"/>
  <c r="H9" i="16"/>
  <c r="G9" i="16"/>
  <c r="I8" i="16"/>
  <c r="H8" i="16"/>
  <c r="G8" i="16"/>
  <c r="I7" i="16"/>
  <c r="H7" i="16"/>
  <c r="G7" i="16"/>
  <c r="I6" i="16"/>
  <c r="H6" i="16"/>
  <c r="G6" i="16"/>
  <c r="I5" i="16"/>
  <c r="H5" i="16"/>
  <c r="G5" i="16"/>
  <c r="I4" i="16"/>
  <c r="H4" i="16"/>
  <c r="G4" i="16"/>
  <c r="H585" i="8"/>
  <c r="H588" i="8"/>
  <c r="G585" i="8"/>
  <c r="G588" i="8"/>
  <c r="G589" i="8"/>
  <c r="F585" i="8"/>
  <c r="F588" i="8"/>
  <c r="E585" i="8"/>
  <c r="D585" i="8"/>
  <c r="D588" i="8"/>
  <c r="F525" i="8"/>
  <c r="D210" i="6"/>
  <c r="E210" i="6"/>
  <c r="F210" i="6"/>
  <c r="G210" i="6"/>
  <c r="H210" i="6"/>
  <c r="D107" i="13"/>
  <c r="E107" i="13"/>
  <c r="F107" i="13"/>
  <c r="G107" i="13"/>
  <c r="H107" i="13"/>
  <c r="D110" i="3"/>
  <c r="E110" i="3"/>
  <c r="F110" i="3"/>
  <c r="G110" i="3"/>
  <c r="H110" i="3"/>
  <c r="D336" i="4"/>
  <c r="E336" i="4"/>
  <c r="F336" i="4"/>
  <c r="K336" i="4" s="1"/>
  <c r="G336" i="4"/>
  <c r="H336" i="4"/>
  <c r="D335" i="4"/>
  <c r="E335" i="4"/>
  <c r="F335" i="4"/>
  <c r="G335" i="4"/>
  <c r="H335" i="4"/>
  <c r="D334" i="4"/>
  <c r="E334" i="4"/>
  <c r="F334" i="4"/>
  <c r="K334" i="4" s="1"/>
  <c r="G334" i="4"/>
  <c r="H334" i="4"/>
  <c r="D333" i="4"/>
  <c r="E333" i="4"/>
  <c r="F333" i="4"/>
  <c r="K333" i="4" s="1"/>
  <c r="G333" i="4"/>
  <c r="H333" i="4"/>
  <c r="D332" i="4"/>
  <c r="E332" i="4"/>
  <c r="F332" i="4"/>
  <c r="K332" i="4" s="1"/>
  <c r="G332" i="4"/>
  <c r="H332" i="4"/>
  <c r="D331" i="4"/>
  <c r="E331" i="4"/>
  <c r="F331" i="4"/>
  <c r="K331" i="4" s="1"/>
  <c r="G331" i="4"/>
  <c r="H331" i="4"/>
  <c r="D330" i="4"/>
  <c r="E330" i="4"/>
  <c r="F330" i="4"/>
  <c r="G330" i="4"/>
  <c r="H330" i="4"/>
  <c r="D329" i="4"/>
  <c r="E329" i="4"/>
  <c r="F329" i="4"/>
  <c r="K329" i="4" s="1"/>
  <c r="G329" i="4"/>
  <c r="H329" i="4"/>
  <c r="D327" i="4"/>
  <c r="E327" i="4"/>
  <c r="F327" i="4"/>
  <c r="K327" i="4" s="1"/>
  <c r="G327" i="4"/>
  <c r="H327" i="4"/>
  <c r="D328" i="4"/>
  <c r="E328" i="4"/>
  <c r="F328" i="4"/>
  <c r="K328" i="4" s="1"/>
  <c r="G328" i="4"/>
  <c r="H328" i="4"/>
  <c r="D324" i="4"/>
  <c r="E324" i="4"/>
  <c r="F324" i="4"/>
  <c r="K324" i="4" s="1"/>
  <c r="G324" i="4"/>
  <c r="H324" i="4"/>
  <c r="D323" i="4"/>
  <c r="E323" i="4"/>
  <c r="F323" i="4"/>
  <c r="G323" i="4"/>
  <c r="H323" i="4"/>
  <c r="D322" i="4"/>
  <c r="E322" i="4"/>
  <c r="F322" i="4"/>
  <c r="K322" i="4" s="1"/>
  <c r="G322" i="4"/>
  <c r="H322" i="4"/>
  <c r="D320" i="4"/>
  <c r="E320" i="4"/>
  <c r="F320" i="4"/>
  <c r="G320" i="4"/>
  <c r="H320" i="4"/>
  <c r="D319" i="4"/>
  <c r="E319" i="4"/>
  <c r="F319" i="4"/>
  <c r="K319" i="4" s="1"/>
  <c r="G319" i="4"/>
  <c r="H319" i="4"/>
  <c r="D317" i="4"/>
  <c r="E317" i="4"/>
  <c r="F317" i="4"/>
  <c r="K317" i="4" s="1"/>
  <c r="G317" i="4"/>
  <c r="H317" i="4"/>
  <c r="D316" i="4"/>
  <c r="E316" i="4"/>
  <c r="F316" i="4"/>
  <c r="K316" i="4" s="1"/>
  <c r="G316" i="4"/>
  <c r="H316" i="4"/>
  <c r="D315" i="4"/>
  <c r="E315" i="4"/>
  <c r="F315" i="4"/>
  <c r="K315" i="4" s="1"/>
  <c r="G315" i="4"/>
  <c r="H315" i="4"/>
  <c r="D314" i="4"/>
  <c r="E314" i="4"/>
  <c r="F314" i="4"/>
  <c r="G314" i="4"/>
  <c r="H314" i="4"/>
  <c r="D313" i="4"/>
  <c r="E313" i="4"/>
  <c r="F313" i="4"/>
  <c r="K313" i="4" s="1"/>
  <c r="G313" i="4"/>
  <c r="H313" i="4"/>
  <c r="D312" i="4"/>
  <c r="E312" i="4"/>
  <c r="F312" i="4"/>
  <c r="K312" i="4" s="1"/>
  <c r="G312" i="4"/>
  <c r="H312" i="4"/>
  <c r="D514" i="8"/>
  <c r="D282" i="14" s="1"/>
  <c r="E514" i="8"/>
  <c r="E282" i="14" s="1"/>
  <c r="F514" i="8"/>
  <c r="F282" i="14" s="1"/>
  <c r="G514" i="8"/>
  <c r="G282" i="14" s="1"/>
  <c r="H514" i="8"/>
  <c r="H282" i="14" s="1"/>
  <c r="D339" i="8"/>
  <c r="E339" i="8"/>
  <c r="F339" i="8"/>
  <c r="G339" i="8"/>
  <c r="D283" i="8"/>
  <c r="D274" i="14" s="1"/>
  <c r="E283" i="8"/>
  <c r="E274" i="14" s="1"/>
  <c r="F283" i="8"/>
  <c r="F274" i="14" s="1"/>
  <c r="G283" i="8"/>
  <c r="G274" i="14" s="1"/>
  <c r="H283" i="8"/>
  <c r="H274" i="14" s="1"/>
  <c r="P289" i="8"/>
  <c r="O289" i="8"/>
  <c r="N289" i="8"/>
  <c r="D257" i="4"/>
  <c r="E257" i="4"/>
  <c r="F257" i="4"/>
  <c r="K257" i="4" s="1"/>
  <c r="G257" i="4"/>
  <c r="H257" i="4"/>
  <c r="D256" i="4"/>
  <c r="E256" i="4"/>
  <c r="F256" i="4"/>
  <c r="K256" i="4" s="1"/>
  <c r="G256" i="4"/>
  <c r="H256" i="4"/>
  <c r="D255" i="4"/>
  <c r="E255" i="4"/>
  <c r="F255" i="4"/>
  <c r="K255" i="4" s="1"/>
  <c r="G255" i="4"/>
  <c r="H255" i="4"/>
  <c r="D254" i="4"/>
  <c r="E254" i="4"/>
  <c r="F254" i="4"/>
  <c r="K254" i="4" s="1"/>
  <c r="G254" i="4"/>
  <c r="H254" i="4"/>
  <c r="D253" i="4"/>
  <c r="E253" i="4"/>
  <c r="F253" i="4"/>
  <c r="K253" i="4" s="1"/>
  <c r="G253" i="4"/>
  <c r="H253" i="4"/>
  <c r="D252" i="4"/>
  <c r="E252" i="4"/>
  <c r="F252" i="4"/>
  <c r="K252" i="4" s="1"/>
  <c r="G252" i="4"/>
  <c r="H252" i="4"/>
  <c r="D250" i="4"/>
  <c r="E250" i="4"/>
  <c r="F250" i="4"/>
  <c r="K250" i="4" s="1"/>
  <c r="G250" i="4"/>
  <c r="H250" i="4"/>
  <c r="D249" i="4"/>
  <c r="E249" i="4"/>
  <c r="F249" i="4"/>
  <c r="K249" i="4" s="1"/>
  <c r="G249" i="4"/>
  <c r="H249" i="4"/>
  <c r="D248" i="4"/>
  <c r="E248" i="4"/>
  <c r="F248" i="4"/>
  <c r="G248" i="4"/>
  <c r="H248" i="4"/>
  <c r="D247" i="4"/>
  <c r="E247" i="4"/>
  <c r="F247" i="4"/>
  <c r="K247" i="4" s="1"/>
  <c r="G247" i="4"/>
  <c r="H247" i="4"/>
  <c r="D246" i="4"/>
  <c r="E246" i="4"/>
  <c r="F246" i="4"/>
  <c r="K246" i="4" s="1"/>
  <c r="G246" i="4"/>
  <c r="H246" i="4"/>
  <c r="D245" i="4"/>
  <c r="E245" i="4"/>
  <c r="F245" i="4"/>
  <c r="K245" i="4" s="1"/>
  <c r="G245" i="4"/>
  <c r="H245" i="4"/>
  <c r="D244" i="4"/>
  <c r="E244" i="4"/>
  <c r="F244" i="4"/>
  <c r="K244" i="4" s="1"/>
  <c r="G244" i="4"/>
  <c r="H244" i="4"/>
  <c r="D243" i="4"/>
  <c r="E243" i="4"/>
  <c r="F243" i="4"/>
  <c r="K243" i="4" s="1"/>
  <c r="G243" i="4"/>
  <c r="H243" i="4"/>
  <c r="D242" i="4"/>
  <c r="E242" i="4"/>
  <c r="F242" i="4"/>
  <c r="K242" i="4" s="1"/>
  <c r="G242" i="4"/>
  <c r="H242" i="4"/>
  <c r="D240" i="4"/>
  <c r="E240" i="4"/>
  <c r="F240" i="4"/>
  <c r="K240" i="4" s="1"/>
  <c r="G240" i="4"/>
  <c r="H240" i="4"/>
  <c r="D239" i="4"/>
  <c r="E239" i="4"/>
  <c r="F239" i="4"/>
  <c r="K239" i="4" s="1"/>
  <c r="G239" i="4"/>
  <c r="H239" i="4"/>
  <c r="D237" i="4"/>
  <c r="E237" i="4"/>
  <c r="F237" i="4"/>
  <c r="K237" i="4" s="1"/>
  <c r="G237" i="4"/>
  <c r="H237" i="4"/>
  <c r="D235" i="4"/>
  <c r="E235" i="4"/>
  <c r="F235" i="4"/>
  <c r="G235" i="4"/>
  <c r="H235" i="4"/>
  <c r="D234" i="4"/>
  <c r="E234" i="4"/>
  <c r="F234" i="4"/>
  <c r="K234" i="4" s="1"/>
  <c r="G234" i="4"/>
  <c r="H234" i="4"/>
  <c r="D233" i="4"/>
  <c r="E233" i="4"/>
  <c r="F233" i="4"/>
  <c r="G233" i="4"/>
  <c r="H233" i="4"/>
  <c r="D232" i="4"/>
  <c r="E232" i="4"/>
  <c r="F232" i="4"/>
  <c r="K232" i="4" s="1"/>
  <c r="G232" i="4"/>
  <c r="H232" i="4"/>
  <c r="D231" i="4"/>
  <c r="E231" i="4"/>
  <c r="F231" i="4"/>
  <c r="K231" i="4" s="1"/>
  <c r="G231" i="4"/>
  <c r="H231" i="4"/>
  <c r="D230" i="4"/>
  <c r="E230" i="4"/>
  <c r="F230" i="4"/>
  <c r="K230" i="4" s="1"/>
  <c r="G230" i="4"/>
  <c r="H230" i="4"/>
  <c r="D229" i="4"/>
  <c r="E229" i="4"/>
  <c r="F229" i="4"/>
  <c r="K229" i="4" s="1"/>
  <c r="G229" i="4"/>
  <c r="H229" i="4"/>
  <c r="D228" i="4"/>
  <c r="E228" i="4"/>
  <c r="F228" i="4"/>
  <c r="K228" i="4" s="1"/>
  <c r="G228" i="4"/>
  <c r="H228" i="4"/>
  <c r="D227" i="4"/>
  <c r="E227" i="4"/>
  <c r="F227" i="4"/>
  <c r="K227" i="4" s="1"/>
  <c r="G227" i="4"/>
  <c r="H227" i="4"/>
  <c r="D226" i="4"/>
  <c r="E226" i="4"/>
  <c r="F226" i="4"/>
  <c r="K226" i="4" s="1"/>
  <c r="G226" i="4"/>
  <c r="H226" i="4"/>
  <c r="D261" i="4"/>
  <c r="E261" i="4"/>
  <c r="F261" i="4"/>
  <c r="K261" i="4" s="1"/>
  <c r="G261" i="4"/>
  <c r="H261" i="4"/>
  <c r="D262" i="4"/>
  <c r="E262" i="4"/>
  <c r="F262" i="4"/>
  <c r="K262" i="4" s="1"/>
  <c r="G262" i="4"/>
  <c r="H262" i="4"/>
  <c r="D263" i="4"/>
  <c r="E263" i="4"/>
  <c r="F263" i="4"/>
  <c r="K263" i="4" s="1"/>
  <c r="G263" i="4"/>
  <c r="H263" i="4"/>
  <c r="D264" i="4"/>
  <c r="E264" i="4"/>
  <c r="F264" i="4"/>
  <c r="K264" i="4" s="1"/>
  <c r="G264" i="4"/>
  <c r="H264" i="4"/>
  <c r="D266" i="4"/>
  <c r="E266" i="4"/>
  <c r="F266" i="4"/>
  <c r="G266" i="4"/>
  <c r="H266" i="4"/>
  <c r="K320" i="4" l="1"/>
  <c r="K335" i="4"/>
  <c r="K235" i="4"/>
  <c r="K323" i="4"/>
  <c r="K266" i="4"/>
  <c r="K233" i="4"/>
  <c r="K248" i="4"/>
  <c r="K314" i="4"/>
  <c r="K330" i="4"/>
  <c r="C365" i="8"/>
  <c r="D365" i="8"/>
  <c r="D215" i="14" s="1"/>
  <c r="E365" i="8"/>
  <c r="E215" i="14" s="1"/>
  <c r="F365" i="8"/>
  <c r="F215" i="14" s="1"/>
  <c r="G365" i="8"/>
  <c r="G215" i="14" s="1"/>
  <c r="H365" i="8"/>
  <c r="H215" i="14" s="1"/>
  <c r="O303" i="8" l="1"/>
  <c r="O239" i="8"/>
  <c r="O240" i="8"/>
  <c r="D349" i="8"/>
  <c r="H352" i="8"/>
  <c r="D145" i="4"/>
  <c r="E145" i="4"/>
  <c r="F145" i="4"/>
  <c r="K145" i="4" s="1"/>
  <c r="G145" i="4"/>
  <c r="H145" i="4"/>
  <c r="C240" i="8" l="1"/>
  <c r="C573" i="8"/>
  <c r="C165" i="14" s="1"/>
  <c r="C585" i="8"/>
  <c r="D573" i="8"/>
  <c r="D165" i="14" s="1"/>
  <c r="E573" i="8"/>
  <c r="E165" i="14" s="1"/>
  <c r="F573" i="8"/>
  <c r="F165" i="14" s="1"/>
  <c r="G573" i="8"/>
  <c r="G165" i="14" s="1"/>
  <c r="H573" i="8"/>
  <c r="H165" i="14" s="1"/>
  <c r="D303" i="4"/>
  <c r="E303" i="4"/>
  <c r="K303" i="4" s="1"/>
  <c r="F303" i="4"/>
  <c r="G303" i="4"/>
  <c r="H303" i="4"/>
  <c r="C303" i="4"/>
  <c r="D196" i="4" l="1"/>
  <c r="E196" i="4"/>
  <c r="F196" i="4"/>
  <c r="K196" i="4" s="1"/>
  <c r="G196" i="4"/>
  <c r="H196" i="4"/>
  <c r="C196" i="4"/>
  <c r="D174" i="8" l="1"/>
  <c r="D152" i="14" s="1"/>
  <c r="E174" i="8"/>
  <c r="E152" i="14" s="1"/>
  <c r="F174" i="8"/>
  <c r="F152" i="14" s="1"/>
  <c r="G174" i="8"/>
  <c r="G152" i="14" s="1"/>
  <c r="H174" i="8"/>
  <c r="H152" i="14" s="1"/>
  <c r="C174" i="8"/>
  <c r="C152" i="14" s="1"/>
  <c r="D8" i="7" l="1"/>
  <c r="E8" i="7"/>
  <c r="F8" i="7"/>
  <c r="G8" i="7"/>
  <c r="H8" i="7"/>
  <c r="C8" i="7"/>
  <c r="C649" i="4" l="1"/>
  <c r="C110" i="3"/>
  <c r="G140" i="5"/>
  <c r="F140" i="5"/>
  <c r="D140" i="13" l="1"/>
  <c r="E140" i="13"/>
  <c r="F140" i="13"/>
  <c r="G140" i="13"/>
  <c r="H140" i="13"/>
  <c r="C140" i="13"/>
  <c r="C18" i="15"/>
  <c r="D141" i="7"/>
  <c r="E141" i="7"/>
  <c r="F141" i="7"/>
  <c r="G141" i="7"/>
  <c r="H141" i="7"/>
  <c r="C141" i="7"/>
  <c r="K168" i="6"/>
  <c r="D434" i="4"/>
  <c r="E434" i="4"/>
  <c r="F434" i="4"/>
  <c r="K434" i="4" s="1"/>
  <c r="G434" i="4"/>
  <c r="H434" i="4"/>
  <c r="C434" i="4"/>
  <c r="D198" i="4"/>
  <c r="E198" i="4"/>
  <c r="F198" i="4"/>
  <c r="K198" i="4" s="1"/>
  <c r="G198" i="4"/>
  <c r="H198" i="4"/>
  <c r="C198" i="4"/>
  <c r="C166" i="14"/>
  <c r="D361" i="14"/>
  <c r="E361" i="14"/>
  <c r="F361" i="14"/>
  <c r="G361" i="14"/>
  <c r="H361" i="14"/>
  <c r="C361" i="14"/>
  <c r="D497" i="8"/>
  <c r="E497" i="8"/>
  <c r="F497" i="8"/>
  <c r="G497" i="8"/>
  <c r="H497" i="8"/>
  <c r="C497" i="8"/>
  <c r="D496" i="8"/>
  <c r="E496" i="8"/>
  <c r="F496" i="8"/>
  <c r="G496" i="8"/>
  <c r="H496" i="8"/>
  <c r="C496" i="8"/>
  <c r="K680" i="6"/>
  <c r="D521" i="4"/>
  <c r="E521" i="4"/>
  <c r="F521" i="4"/>
  <c r="G521" i="4"/>
  <c r="H521" i="4"/>
  <c r="C521" i="4"/>
  <c r="D440" i="14"/>
  <c r="E440" i="14"/>
  <c r="F440" i="14"/>
  <c r="G440" i="14"/>
  <c r="H440" i="14"/>
  <c r="C440" i="14"/>
  <c r="D54" i="8"/>
  <c r="E54" i="8"/>
  <c r="F54" i="8"/>
  <c r="G54" i="8"/>
  <c r="H54" i="8"/>
  <c r="C54" i="8"/>
  <c r="G34" i="5"/>
  <c r="G787" i="6"/>
  <c r="F787" i="6"/>
  <c r="E787" i="6"/>
  <c r="G770" i="6"/>
  <c r="H16" i="16" s="1"/>
  <c r="F770" i="6"/>
  <c r="G761" i="6"/>
  <c r="F761" i="6"/>
  <c r="G742" i="6"/>
  <c r="F742" i="6"/>
  <c r="E742" i="6"/>
  <c r="G724" i="6"/>
  <c r="F724" i="6"/>
  <c r="G668" i="6"/>
  <c r="F668" i="6"/>
  <c r="G651" i="6"/>
  <c r="H13" i="16" s="1"/>
  <c r="G612" i="6"/>
  <c r="F612" i="6"/>
  <c r="E612" i="6"/>
  <c r="G579" i="6"/>
  <c r="F579" i="6"/>
  <c r="G560" i="6"/>
  <c r="F560" i="6"/>
  <c r="G542" i="6"/>
  <c r="F542" i="6"/>
  <c r="E542" i="6"/>
  <c r="G507" i="6"/>
  <c r="F507" i="6"/>
  <c r="G458" i="6"/>
  <c r="H12" i="16" s="1"/>
  <c r="F458" i="6"/>
  <c r="G440" i="6"/>
  <c r="F440" i="6"/>
  <c r="E440" i="6"/>
  <c r="G425" i="6"/>
  <c r="F425" i="6"/>
  <c r="E425" i="6"/>
  <c r="G310" i="6"/>
  <c r="F310" i="6"/>
  <c r="G296" i="6"/>
  <c r="H11" i="16" s="1"/>
  <c r="F296" i="6"/>
  <c r="E296" i="6"/>
  <c r="G239" i="6"/>
  <c r="F239" i="6"/>
  <c r="E239" i="6"/>
  <c r="G202" i="6"/>
  <c r="H15" i="16" s="1"/>
  <c r="F202" i="6"/>
  <c r="G163" i="6"/>
  <c r="H10" i="16" s="1"/>
  <c r="F163" i="6"/>
  <c r="E163" i="6"/>
  <c r="G152" i="6"/>
  <c r="F152" i="6"/>
  <c r="G118" i="6"/>
  <c r="F118" i="6"/>
  <c r="E118" i="6"/>
  <c r="G98" i="6"/>
  <c r="F98" i="6"/>
  <c r="E98" i="6"/>
  <c r="G69" i="6"/>
  <c r="F69" i="6"/>
  <c r="E69" i="6"/>
  <c r="G55" i="6"/>
  <c r="F55" i="6"/>
  <c r="E55" i="6"/>
  <c r="E310" i="6"/>
  <c r="G23" i="15"/>
  <c r="H23" i="15"/>
  <c r="F23" i="15"/>
  <c r="F112" i="5"/>
  <c r="E112" i="5"/>
  <c r="G126" i="5"/>
  <c r="F126" i="5"/>
  <c r="E126" i="5"/>
  <c r="G150" i="5"/>
  <c r="F150" i="5"/>
  <c r="E150" i="5"/>
  <c r="G157" i="5"/>
  <c r="F157" i="5"/>
  <c r="E157" i="5"/>
  <c r="G163" i="5"/>
  <c r="F163" i="5"/>
  <c r="E163" i="5"/>
  <c r="F170" i="5"/>
  <c r="E211" i="5"/>
  <c r="G96" i="5"/>
  <c r="E96" i="5"/>
  <c r="G78" i="5"/>
  <c r="E78" i="5"/>
  <c r="G72" i="5"/>
  <c r="F72" i="5"/>
  <c r="E72" i="5"/>
  <c r="F42" i="5"/>
  <c r="G42" i="5"/>
  <c r="E42" i="5"/>
  <c r="E170" i="5"/>
  <c r="G9" i="5"/>
  <c r="F9" i="5"/>
  <c r="F802" i="4"/>
  <c r="K94" i="6"/>
  <c r="D545" i="8"/>
  <c r="D377" i="14" s="1"/>
  <c r="E545" i="8"/>
  <c r="E377" i="14" s="1"/>
  <c r="F545" i="8"/>
  <c r="F377" i="14" s="1"/>
  <c r="G545" i="8"/>
  <c r="G377" i="14" s="1"/>
  <c r="H545" i="8"/>
  <c r="H377" i="14" s="1"/>
  <c r="C545" i="8"/>
  <c r="C377" i="14" s="1"/>
  <c r="D450" i="4"/>
  <c r="E450" i="4"/>
  <c r="F450" i="4"/>
  <c r="K450" i="4" s="1"/>
  <c r="G450" i="4"/>
  <c r="H450" i="4"/>
  <c r="C450" i="4"/>
  <c r="D203" i="5"/>
  <c r="E203" i="5"/>
  <c r="F203" i="5"/>
  <c r="G203" i="5"/>
  <c r="H203" i="5"/>
  <c r="C203" i="5"/>
  <c r="C107" i="13"/>
  <c r="D169" i="7"/>
  <c r="E169" i="7"/>
  <c r="F169" i="7"/>
  <c r="G169" i="7"/>
  <c r="H169" i="7"/>
  <c r="C169" i="7"/>
  <c r="D437" i="8"/>
  <c r="E437" i="8"/>
  <c r="F437" i="8"/>
  <c r="G437" i="8"/>
  <c r="H437" i="8"/>
  <c r="C437" i="8"/>
  <c r="D180" i="14"/>
  <c r="E180" i="14"/>
  <c r="F180" i="14"/>
  <c r="G180" i="14"/>
  <c r="H180" i="14"/>
  <c r="C180" i="14"/>
  <c r="D212" i="4"/>
  <c r="E212" i="4"/>
  <c r="F212" i="4"/>
  <c r="K212" i="4" s="1"/>
  <c r="G212" i="4"/>
  <c r="H212" i="4"/>
  <c r="C212" i="4"/>
  <c r="K758" i="6"/>
  <c r="D573" i="4"/>
  <c r="E573" i="4"/>
  <c r="F573" i="4"/>
  <c r="G573" i="4"/>
  <c r="H573" i="4"/>
  <c r="C573" i="4"/>
  <c r="D274" i="8"/>
  <c r="D486" i="14" s="1"/>
  <c r="E274" i="8"/>
  <c r="E486" i="14" s="1"/>
  <c r="F274" i="8"/>
  <c r="F486" i="14" s="1"/>
  <c r="G274" i="8"/>
  <c r="G486" i="14" s="1"/>
  <c r="H274" i="8"/>
  <c r="H486" i="14" s="1"/>
  <c r="C274" i="8"/>
  <c r="C486" i="14" s="1"/>
  <c r="K221" i="6"/>
  <c r="K220" i="6"/>
  <c r="K591" i="6"/>
  <c r="A587" i="6"/>
  <c r="K343" i="6"/>
  <c r="K144" i="6"/>
  <c r="K147" i="6"/>
  <c r="L13" i="15"/>
  <c r="L7" i="15"/>
  <c r="L8" i="15"/>
  <c r="L9" i="15"/>
  <c r="L10" i="15"/>
  <c r="L11" i="15"/>
  <c r="L12" i="15"/>
  <c r="L14" i="15"/>
  <c r="L15" i="15"/>
  <c r="L16" i="15"/>
  <c r="L17" i="15"/>
  <c r="L18" i="15"/>
  <c r="L20" i="15"/>
  <c r="L21" i="15"/>
  <c r="L22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20" i="15"/>
  <c r="K21" i="15"/>
  <c r="K22" i="15"/>
  <c r="L6" i="15"/>
  <c r="K6" i="15"/>
  <c r="K25" i="6"/>
  <c r="K26" i="6"/>
  <c r="K27" i="6"/>
  <c r="K28" i="6"/>
  <c r="K29" i="6"/>
  <c r="K30" i="6"/>
  <c r="K31" i="6"/>
  <c r="K32" i="6"/>
  <c r="K33" i="6"/>
  <c r="K34" i="6"/>
  <c r="K42" i="6"/>
  <c r="K43" i="6"/>
  <c r="K44" i="6"/>
  <c r="K45" i="6"/>
  <c r="K46" i="6"/>
  <c r="K47" i="6"/>
  <c r="K48" i="6"/>
  <c r="K49" i="6"/>
  <c r="K50" i="6"/>
  <c r="K51" i="6"/>
  <c r="K52" i="6"/>
  <c r="K60" i="6"/>
  <c r="K61" i="6"/>
  <c r="K62" i="6"/>
  <c r="K63" i="6"/>
  <c r="K64" i="6"/>
  <c r="K65" i="6"/>
  <c r="K74" i="6"/>
  <c r="K75" i="6"/>
  <c r="K76" i="6"/>
  <c r="K77" i="6"/>
  <c r="K78" i="6"/>
  <c r="K79" i="6"/>
  <c r="K80" i="6"/>
  <c r="K91" i="6"/>
  <c r="K92" i="6"/>
  <c r="K93" i="6"/>
  <c r="K95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24" i="6"/>
  <c r="K125" i="6"/>
  <c r="K126" i="6"/>
  <c r="K127" i="6"/>
  <c r="K128" i="6"/>
  <c r="K129" i="6"/>
  <c r="K130" i="6"/>
  <c r="K131" i="6"/>
  <c r="K132" i="6"/>
  <c r="K142" i="6"/>
  <c r="K143" i="6"/>
  <c r="K145" i="6"/>
  <c r="K146" i="6"/>
  <c r="K148" i="6"/>
  <c r="K149" i="6"/>
  <c r="K157" i="6"/>
  <c r="K158" i="6"/>
  <c r="K159" i="6"/>
  <c r="K160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92" i="6"/>
  <c r="K193" i="6"/>
  <c r="K194" i="6"/>
  <c r="K195" i="6"/>
  <c r="K196" i="6"/>
  <c r="K197" i="6"/>
  <c r="K198" i="6"/>
  <c r="K199" i="6"/>
  <c r="K207" i="6"/>
  <c r="K215" i="6"/>
  <c r="K216" i="6"/>
  <c r="K217" i="6"/>
  <c r="K218" i="6"/>
  <c r="K219" i="6"/>
  <c r="K222" i="6"/>
  <c r="K223" i="6"/>
  <c r="K232" i="6"/>
  <c r="K233" i="6"/>
  <c r="K234" i="6"/>
  <c r="K235" i="6"/>
  <c r="K236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71" i="6"/>
  <c r="K272" i="6"/>
  <c r="K273" i="6"/>
  <c r="K274" i="6"/>
  <c r="K275" i="6"/>
  <c r="K276" i="6"/>
  <c r="K277" i="6"/>
  <c r="K278" i="6"/>
  <c r="K279" i="6"/>
  <c r="K280" i="6"/>
  <c r="K290" i="6"/>
  <c r="K291" i="6"/>
  <c r="K292" i="6"/>
  <c r="K301" i="6"/>
  <c r="K302" i="6"/>
  <c r="K303" i="6"/>
  <c r="K304" i="6"/>
  <c r="K305" i="6"/>
  <c r="K306" i="6"/>
  <c r="K307" i="6"/>
  <c r="K315" i="6"/>
  <c r="K316" i="6"/>
  <c r="K317" i="6"/>
  <c r="K318" i="6"/>
  <c r="K319" i="6"/>
  <c r="K320" i="6"/>
  <c r="K321" i="6"/>
  <c r="K322" i="6"/>
  <c r="K330" i="6"/>
  <c r="K331" i="6"/>
  <c r="K332" i="6"/>
  <c r="K340" i="6"/>
  <c r="K341" i="6"/>
  <c r="K342" i="6"/>
  <c r="K344" i="6"/>
  <c r="K345" i="6"/>
  <c r="K346" i="6"/>
  <c r="K347" i="6"/>
  <c r="K348" i="6"/>
  <c r="K349" i="6"/>
  <c r="K350" i="6"/>
  <c r="K351" i="6"/>
  <c r="K352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82" i="6"/>
  <c r="K383" i="6"/>
  <c r="K384" i="6"/>
  <c r="K385" i="6"/>
  <c r="K386" i="6"/>
  <c r="K387" i="6"/>
  <c r="K388" i="6"/>
  <c r="K396" i="6"/>
  <c r="K397" i="6"/>
  <c r="K398" i="6"/>
  <c r="K399" i="6"/>
  <c r="K400" i="6"/>
  <c r="K401" i="6"/>
  <c r="K402" i="6"/>
  <c r="K403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30" i="6"/>
  <c r="K431" i="6"/>
  <c r="K432" i="6"/>
  <c r="K433" i="6"/>
  <c r="K434" i="6"/>
  <c r="K435" i="6"/>
  <c r="K436" i="6"/>
  <c r="K445" i="6"/>
  <c r="K446" i="6"/>
  <c r="K447" i="6"/>
  <c r="K448" i="6"/>
  <c r="K449" i="6"/>
  <c r="K450" i="6"/>
  <c r="K451" i="6"/>
  <c r="K452" i="6"/>
  <c r="K453" i="6"/>
  <c r="K454" i="6"/>
  <c r="K455" i="6"/>
  <c r="K463" i="6"/>
  <c r="K464" i="6"/>
  <c r="K465" i="6"/>
  <c r="K466" i="6"/>
  <c r="K467" i="6"/>
  <c r="K468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500" i="6"/>
  <c r="K501" i="6"/>
  <c r="K502" i="6"/>
  <c r="K503" i="6"/>
  <c r="K512" i="6"/>
  <c r="K513" i="6"/>
  <c r="K514" i="6"/>
  <c r="K515" i="6"/>
  <c r="K516" i="6"/>
  <c r="K517" i="6"/>
  <c r="K518" i="6"/>
  <c r="K519" i="6"/>
  <c r="K520" i="6"/>
  <c r="K529" i="6"/>
  <c r="K530" i="6"/>
  <c r="K531" i="6"/>
  <c r="K532" i="6"/>
  <c r="K533" i="6"/>
  <c r="K534" i="6"/>
  <c r="K535" i="6"/>
  <c r="K536" i="6"/>
  <c r="K537" i="6"/>
  <c r="K538" i="6"/>
  <c r="K539" i="6"/>
  <c r="K547" i="6"/>
  <c r="K548" i="6"/>
  <c r="K549" i="6"/>
  <c r="K550" i="6"/>
  <c r="K551" i="6"/>
  <c r="K552" i="6"/>
  <c r="K553" i="6"/>
  <c r="K554" i="6"/>
  <c r="K555" i="6"/>
  <c r="K556" i="6"/>
  <c r="K557" i="6"/>
  <c r="K565" i="6"/>
  <c r="K566" i="6"/>
  <c r="K567" i="6"/>
  <c r="K568" i="6"/>
  <c r="K569" i="6"/>
  <c r="K570" i="6"/>
  <c r="K571" i="6"/>
  <c r="K572" i="6"/>
  <c r="K573" i="6"/>
  <c r="K584" i="6"/>
  <c r="K585" i="6"/>
  <c r="K586" i="6"/>
  <c r="K587" i="6"/>
  <c r="K588" i="6"/>
  <c r="K589" i="6"/>
  <c r="K590" i="6"/>
  <c r="K599" i="6"/>
  <c r="K600" i="6"/>
  <c r="K601" i="6"/>
  <c r="K602" i="6"/>
  <c r="K603" i="6"/>
  <c r="K604" i="6"/>
  <c r="K605" i="6"/>
  <c r="K606" i="6"/>
  <c r="K607" i="6"/>
  <c r="K608" i="6"/>
  <c r="K617" i="6"/>
  <c r="K618" i="6"/>
  <c r="K619" i="6"/>
  <c r="K620" i="6"/>
  <c r="K621" i="6"/>
  <c r="K630" i="6"/>
  <c r="I630" i="6" s="1"/>
  <c r="K631" i="6"/>
  <c r="K632" i="6"/>
  <c r="K633" i="6"/>
  <c r="K641" i="6"/>
  <c r="K642" i="6"/>
  <c r="K643" i="6"/>
  <c r="K644" i="6"/>
  <c r="K645" i="6"/>
  <c r="K657" i="6"/>
  <c r="K659" i="6"/>
  <c r="K660" i="6"/>
  <c r="K661" i="6"/>
  <c r="K662" i="6"/>
  <c r="K663" i="6"/>
  <c r="K665" i="6"/>
  <c r="K674" i="6"/>
  <c r="K675" i="6"/>
  <c r="K676" i="6"/>
  <c r="K677" i="6"/>
  <c r="K678" i="6"/>
  <c r="K679" i="6"/>
  <c r="K691" i="6"/>
  <c r="K692" i="6"/>
  <c r="K693" i="6"/>
  <c r="K694" i="6"/>
  <c r="K695" i="6"/>
  <c r="K696" i="6"/>
  <c r="K697" i="6"/>
  <c r="K698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30" i="6"/>
  <c r="K731" i="6"/>
  <c r="K732" i="6"/>
  <c r="K733" i="6"/>
  <c r="K734" i="6"/>
  <c r="K735" i="6"/>
  <c r="K736" i="6"/>
  <c r="K737" i="6"/>
  <c r="K738" i="6"/>
  <c r="K747" i="6"/>
  <c r="K748" i="6"/>
  <c r="K749" i="6"/>
  <c r="K750" i="6"/>
  <c r="K751" i="6"/>
  <c r="K752" i="6"/>
  <c r="K753" i="6"/>
  <c r="K754" i="6"/>
  <c r="K755" i="6"/>
  <c r="K756" i="6"/>
  <c r="K757" i="6"/>
  <c r="K766" i="6"/>
  <c r="K767" i="6"/>
  <c r="K775" i="6"/>
  <c r="K776" i="6"/>
  <c r="K777" i="6"/>
  <c r="K778" i="6"/>
  <c r="K779" i="6"/>
  <c r="K780" i="6"/>
  <c r="K781" i="6"/>
  <c r="K782" i="6"/>
  <c r="K783" i="6"/>
  <c r="K784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521" i="4" l="1"/>
  <c r="K573" i="4"/>
  <c r="I72" i="5"/>
  <c r="G11" i="16"/>
  <c r="G15" i="16"/>
  <c r="G16" i="16"/>
  <c r="F823" i="6"/>
  <c r="G10" i="16"/>
  <c r="G12" i="16"/>
  <c r="I96" i="5"/>
  <c r="I157" i="5"/>
  <c r="I163" i="5"/>
  <c r="I170" i="5"/>
  <c r="K664" i="6"/>
  <c r="K656" i="6"/>
  <c r="G20" i="16" l="1"/>
  <c r="C82" i="7"/>
  <c r="D82" i="7"/>
  <c r="D83" i="7" s="1"/>
  <c r="C48" i="10" l="1"/>
  <c r="D416" i="8" l="1"/>
  <c r="D430" i="14" s="1"/>
  <c r="E416" i="8"/>
  <c r="E430" i="14" s="1"/>
  <c r="F416" i="8"/>
  <c r="F430" i="14" s="1"/>
  <c r="G416" i="8"/>
  <c r="G430" i="14" s="1"/>
  <c r="H416" i="8"/>
  <c r="H430" i="14" s="1"/>
  <c r="C416" i="8"/>
  <c r="C430" i="14" s="1"/>
  <c r="D508" i="4"/>
  <c r="E508" i="4"/>
  <c r="F508" i="4"/>
  <c r="K508" i="4" s="1"/>
  <c r="G508" i="4"/>
  <c r="H508" i="4"/>
  <c r="C508" i="4"/>
  <c r="D74" i="8" l="1"/>
  <c r="E74" i="8"/>
  <c r="F74" i="8"/>
  <c r="G74" i="8"/>
  <c r="H74" i="8"/>
  <c r="C74" i="8"/>
  <c r="D441" i="4"/>
  <c r="E441" i="4"/>
  <c r="F441" i="4"/>
  <c r="K441" i="4" s="1"/>
  <c r="G441" i="4"/>
  <c r="H441" i="4"/>
  <c r="C441" i="4"/>
  <c r="C294" i="8" l="1"/>
  <c r="C393" i="14" s="1"/>
  <c r="D294" i="8"/>
  <c r="D393" i="14" s="1"/>
  <c r="E294" i="8"/>
  <c r="E393" i="14" s="1"/>
  <c r="F294" i="8"/>
  <c r="F393" i="14" s="1"/>
  <c r="G294" i="8"/>
  <c r="G393" i="14" s="1"/>
  <c r="H294" i="8"/>
  <c r="H393" i="14" s="1"/>
  <c r="B294" i="8"/>
  <c r="D468" i="4"/>
  <c r="E468" i="4"/>
  <c r="F468" i="4"/>
  <c r="K468" i="4" s="1"/>
  <c r="G468" i="4"/>
  <c r="H468" i="4"/>
  <c r="C468" i="4"/>
  <c r="M63" i="8" l="1"/>
  <c r="C91" i="7"/>
  <c r="C179" i="13" s="1"/>
  <c r="D91" i="7"/>
  <c r="D179" i="13" s="1"/>
  <c r="E91" i="7"/>
  <c r="E179" i="13" s="1"/>
  <c r="F91" i="7"/>
  <c r="F179" i="13" s="1"/>
  <c r="G91" i="7"/>
  <c r="G179" i="13" s="1"/>
  <c r="H91" i="7"/>
  <c r="H179" i="13" s="1"/>
  <c r="B91" i="7"/>
  <c r="D186" i="3"/>
  <c r="E186" i="3"/>
  <c r="F186" i="3"/>
  <c r="G186" i="3"/>
  <c r="H186" i="3"/>
  <c r="C186" i="3"/>
  <c r="D146" i="3" l="1"/>
  <c r="E146" i="3"/>
  <c r="F146" i="3"/>
  <c r="G146" i="3"/>
  <c r="H146" i="3"/>
  <c r="C146" i="3"/>
  <c r="H133" i="5"/>
  <c r="H119" i="7" s="1"/>
  <c r="H121" i="7" s="1"/>
  <c r="G133" i="5"/>
  <c r="G119" i="7" s="1"/>
  <c r="G121" i="7" s="1"/>
  <c r="F133" i="5"/>
  <c r="E133" i="5"/>
  <c r="E257" i="5" s="1"/>
  <c r="D133" i="5"/>
  <c r="D257" i="5" s="1"/>
  <c r="C133" i="5"/>
  <c r="C257" i="5" s="1"/>
  <c r="C55" i="6"/>
  <c r="D55" i="6"/>
  <c r="F257" i="5" l="1"/>
  <c r="G141" i="13"/>
  <c r="G210" i="7"/>
  <c r="J210" i="7" s="1"/>
  <c r="K210" i="7" s="1"/>
  <c r="G257" i="5"/>
  <c r="H141" i="13"/>
  <c r="H210" i="7"/>
  <c r="C119" i="7"/>
  <c r="C121" i="7" s="1"/>
  <c r="C28" i="11" s="1"/>
  <c r="F119" i="7"/>
  <c r="F121" i="7" s="1"/>
  <c r="H257" i="5"/>
  <c r="D119" i="7"/>
  <c r="D121" i="7" s="1"/>
  <c r="E119" i="7"/>
  <c r="E121" i="7" s="1"/>
  <c r="C427" i="14"/>
  <c r="D427" i="14"/>
  <c r="E427" i="14"/>
  <c r="F427" i="14"/>
  <c r="G427" i="14"/>
  <c r="C484" i="14"/>
  <c r="D484" i="14"/>
  <c r="E484" i="14"/>
  <c r="F484" i="14"/>
  <c r="G484" i="14"/>
  <c r="B212" i="8"/>
  <c r="B211" i="8"/>
  <c r="C184" i="8"/>
  <c r="C426" i="14" s="1"/>
  <c r="D184" i="8"/>
  <c r="D426" i="14" s="1"/>
  <c r="E184" i="8"/>
  <c r="E426" i="14" s="1"/>
  <c r="F184" i="8"/>
  <c r="F426" i="14" s="1"/>
  <c r="G184" i="8"/>
  <c r="G426" i="14" s="1"/>
  <c r="H184" i="8"/>
  <c r="H426" i="14" s="1"/>
  <c r="B184" i="8"/>
  <c r="D503" i="4"/>
  <c r="E503" i="4"/>
  <c r="F503" i="4"/>
  <c r="K503" i="4" s="1"/>
  <c r="G503" i="4"/>
  <c r="H503" i="4"/>
  <c r="C503" i="4"/>
  <c r="H484" i="14" l="1"/>
  <c r="H427" i="14"/>
  <c r="F141" i="13"/>
  <c r="F210" i="7"/>
  <c r="C141" i="13"/>
  <c r="C210" i="7"/>
  <c r="E141" i="13"/>
  <c r="E210" i="7"/>
  <c r="D141" i="13"/>
  <c r="D210" i="7"/>
  <c r="G136" i="6"/>
  <c r="G828" i="6" s="1"/>
  <c r="D329" i="14"/>
  <c r="E329" i="14"/>
  <c r="F329" i="14"/>
  <c r="G329" i="14"/>
  <c r="H329" i="14"/>
  <c r="C329" i="14"/>
  <c r="D120" i="14"/>
  <c r="E120" i="14"/>
  <c r="F120" i="14"/>
  <c r="G120" i="14"/>
  <c r="H120" i="14"/>
  <c r="C120" i="14"/>
  <c r="C562" i="8" l="1"/>
  <c r="C330" i="14" s="1"/>
  <c r="D562" i="8"/>
  <c r="D330" i="14" s="1"/>
  <c r="E562" i="8"/>
  <c r="E330" i="14" s="1"/>
  <c r="F562" i="8"/>
  <c r="F330" i="14" s="1"/>
  <c r="G562" i="8"/>
  <c r="G330" i="14" s="1"/>
  <c r="H562" i="8"/>
  <c r="H330" i="14" s="1"/>
  <c r="B562" i="8"/>
  <c r="C400" i="4"/>
  <c r="Q588" i="8" l="1"/>
  <c r="L233" i="8"/>
  <c r="C210" i="14"/>
  <c r="N63" i="8"/>
  <c r="O63" i="8"/>
  <c r="P63" i="8"/>
  <c r="Q63" i="8"/>
  <c r="M427" i="8"/>
  <c r="N427" i="8"/>
  <c r="O427" i="8"/>
  <c r="P427" i="8"/>
  <c r="Q427" i="8"/>
  <c r="L427" i="8"/>
  <c r="L63" i="8"/>
  <c r="K311" i="8"/>
  <c r="M405" i="8"/>
  <c r="M390" i="8"/>
  <c r="L16" i="8"/>
  <c r="L9" i="8"/>
  <c r="L15" i="8" s="1"/>
  <c r="L10" i="8"/>
  <c r="L12" i="8" s="1"/>
  <c r="Q587" i="8"/>
  <c r="M592" i="8"/>
  <c r="M591" i="8"/>
  <c r="E668" i="6"/>
  <c r="D373" i="14"/>
  <c r="E373" i="14"/>
  <c r="F373" i="14"/>
  <c r="G373" i="14"/>
  <c r="H373" i="14"/>
  <c r="C373" i="14"/>
  <c r="D447" i="4"/>
  <c r="E447" i="4"/>
  <c r="F447" i="4"/>
  <c r="K447" i="4" s="1"/>
  <c r="G447" i="4"/>
  <c r="H447" i="4"/>
  <c r="C447" i="4"/>
  <c r="C256" i="4"/>
  <c r="P40" i="8"/>
  <c r="D241" i="8"/>
  <c r="D445" i="14" s="1"/>
  <c r="E241" i="8"/>
  <c r="E445" i="14" s="1"/>
  <c r="F241" i="8"/>
  <c r="F445" i="14" s="1"/>
  <c r="G241" i="8"/>
  <c r="G445" i="14" s="1"/>
  <c r="H241" i="8"/>
  <c r="H445" i="14" s="1"/>
  <c r="C241" i="8"/>
  <c r="C445" i="14" s="1"/>
  <c r="D100" i="8"/>
  <c r="E100" i="8"/>
  <c r="F100" i="8"/>
  <c r="G100" i="8"/>
  <c r="H100" i="8"/>
  <c r="C100" i="8"/>
  <c r="D53" i="4"/>
  <c r="E53" i="4"/>
  <c r="F53" i="4"/>
  <c r="K53" i="4" s="1"/>
  <c r="G53" i="4"/>
  <c r="H53" i="4"/>
  <c r="C53" i="4"/>
  <c r="D525" i="4"/>
  <c r="E525" i="4"/>
  <c r="F525" i="4"/>
  <c r="K525" i="4" s="1"/>
  <c r="G525" i="4"/>
  <c r="H525" i="4"/>
  <c r="C525" i="4"/>
  <c r="C436" i="8"/>
  <c r="C374" i="14" s="1"/>
  <c r="D436" i="8"/>
  <c r="D374" i="14" s="1"/>
  <c r="E436" i="8"/>
  <c r="E374" i="14" s="1"/>
  <c r="F436" i="8"/>
  <c r="F374" i="14" s="1"/>
  <c r="G436" i="8"/>
  <c r="G374" i="14" s="1"/>
  <c r="H436" i="8"/>
  <c r="H374" i="14" s="1"/>
  <c r="B436" i="8"/>
  <c r="D446" i="4"/>
  <c r="E446" i="4"/>
  <c r="F446" i="4"/>
  <c r="K446" i="4" s="1"/>
  <c r="G446" i="4"/>
  <c r="H446" i="4"/>
  <c r="C446" i="4"/>
  <c r="D197" i="8" l="1"/>
  <c r="D174" i="14" s="1"/>
  <c r="E197" i="8"/>
  <c r="E174" i="14" s="1"/>
  <c r="F197" i="8"/>
  <c r="F174" i="14" s="1"/>
  <c r="G197" i="8"/>
  <c r="G174" i="14" s="1"/>
  <c r="H197" i="8"/>
  <c r="H174" i="14" s="1"/>
  <c r="C197" i="8"/>
  <c r="C174" i="14" s="1"/>
  <c r="D206" i="4"/>
  <c r="E206" i="4"/>
  <c r="F206" i="4"/>
  <c r="K206" i="4" s="1"/>
  <c r="G206" i="4"/>
  <c r="H206" i="4"/>
  <c r="C206" i="4"/>
  <c r="D315" i="8"/>
  <c r="D351" i="14" s="1"/>
  <c r="E315" i="8"/>
  <c r="E351" i="14" s="1"/>
  <c r="F315" i="8"/>
  <c r="F351" i="14" s="1"/>
  <c r="G315" i="8"/>
  <c r="G351" i="14" s="1"/>
  <c r="H315" i="8"/>
  <c r="H351" i="14" s="1"/>
  <c r="C315" i="8"/>
  <c r="C351" i="14" s="1"/>
  <c r="D424" i="4"/>
  <c r="E424" i="4"/>
  <c r="F424" i="4"/>
  <c r="G424" i="4"/>
  <c r="H424" i="4"/>
  <c r="C424" i="4"/>
  <c r="H787" i="6"/>
  <c r="K424" i="4" l="1"/>
  <c r="C112" i="7"/>
  <c r="C139" i="13" s="1"/>
  <c r="D112" i="7"/>
  <c r="D139" i="13" s="1"/>
  <c r="E112" i="7"/>
  <c r="E139" i="13" s="1"/>
  <c r="F112" i="7"/>
  <c r="F139" i="13" s="1"/>
  <c r="G112" i="7"/>
  <c r="G139" i="13" s="1"/>
  <c r="H112" i="7"/>
  <c r="H139" i="13" s="1"/>
  <c r="B112" i="7"/>
  <c r="D145" i="3"/>
  <c r="E145" i="3"/>
  <c r="F145" i="3"/>
  <c r="G145" i="3"/>
  <c r="H145" i="3"/>
  <c r="C145" i="3"/>
  <c r="D357" i="14"/>
  <c r="E357" i="14"/>
  <c r="F357" i="14"/>
  <c r="G357" i="14"/>
  <c r="H357" i="14"/>
  <c r="C357" i="14"/>
  <c r="D128" i="4"/>
  <c r="E128" i="4"/>
  <c r="F128" i="4"/>
  <c r="K128" i="4" s="1"/>
  <c r="G128" i="4"/>
  <c r="H128" i="4"/>
  <c r="C128" i="4"/>
  <c r="D284" i="8" l="1"/>
  <c r="D350" i="14" s="1"/>
  <c r="E284" i="8"/>
  <c r="E350" i="14" s="1"/>
  <c r="F284" i="8"/>
  <c r="F350" i="14" s="1"/>
  <c r="G284" i="8"/>
  <c r="G350" i="14" s="1"/>
  <c r="H284" i="8"/>
  <c r="H350" i="14" s="1"/>
  <c r="C284" i="8"/>
  <c r="C350" i="14" s="1"/>
  <c r="C426" i="4"/>
  <c r="D73" i="8"/>
  <c r="D345" i="14" s="1"/>
  <c r="E73" i="8"/>
  <c r="F73" i="8"/>
  <c r="F345" i="14" s="1"/>
  <c r="G73" i="8"/>
  <c r="G345" i="14" s="1"/>
  <c r="H73" i="8"/>
  <c r="H345" i="14" s="1"/>
  <c r="C73" i="8"/>
  <c r="C345" i="14" s="1"/>
  <c r="D416" i="4"/>
  <c r="E416" i="4"/>
  <c r="F416" i="4"/>
  <c r="K416" i="4" s="1"/>
  <c r="G416" i="4"/>
  <c r="H416" i="4"/>
  <c r="C416" i="4"/>
  <c r="E345" i="14" l="1"/>
  <c r="D528" i="8"/>
  <c r="E528" i="8"/>
  <c r="F528" i="8"/>
  <c r="G528" i="8"/>
  <c r="H528" i="8"/>
  <c r="C528" i="8"/>
  <c r="D608" i="4"/>
  <c r="E608" i="4"/>
  <c r="F608" i="4"/>
  <c r="K608" i="4" s="1"/>
  <c r="G608" i="4"/>
  <c r="H608" i="4"/>
  <c r="C608" i="4"/>
  <c r="C84" i="5" l="1"/>
  <c r="C25" i="16" s="1"/>
  <c r="D84" i="5"/>
  <c r="H55" i="6"/>
  <c r="H823" i="6" s="1"/>
  <c r="F3" i="19"/>
  <c r="I3" i="19" s="1"/>
  <c r="L3" i="19" s="1"/>
  <c r="O3" i="19" s="1"/>
  <c r="R3" i="19" s="1"/>
  <c r="D32" i="21"/>
  <c r="E32" i="21"/>
  <c r="F32" i="21"/>
  <c r="G32" i="21"/>
  <c r="H32" i="21"/>
  <c r="C32" i="21"/>
  <c r="C685" i="6"/>
  <c r="N405" i="8"/>
  <c r="O405" i="8"/>
  <c r="P405" i="8"/>
  <c r="Q405" i="8"/>
  <c r="O156" i="8"/>
  <c r="O159" i="8" s="1"/>
  <c r="P156" i="8"/>
  <c r="P159" i="8" s="1"/>
  <c r="Q156" i="8"/>
  <c r="Q159" i="8" s="1"/>
  <c r="R156" i="8"/>
  <c r="S156" i="8"/>
  <c r="N156" i="8"/>
  <c r="N159" i="8" s="1"/>
  <c r="N404" i="8"/>
  <c r="O404" i="8"/>
  <c r="Q404" i="8"/>
  <c r="R404" i="8"/>
  <c r="M404" i="8"/>
  <c r="M407" i="8" s="1"/>
  <c r="M389" i="8" s="1"/>
  <c r="M391" i="8" s="1"/>
  <c r="M229" i="8"/>
  <c r="N229" i="8"/>
  <c r="O229" i="8"/>
  <c r="P229" i="8"/>
  <c r="Q229" i="8"/>
  <c r="L229" i="8"/>
  <c r="M230" i="8"/>
  <c r="N230" i="8"/>
  <c r="O230" i="8"/>
  <c r="P230" i="8"/>
  <c r="Q230" i="8"/>
  <c r="L230" i="8"/>
  <c r="O152" i="8"/>
  <c r="P152" i="8"/>
  <c r="Q152" i="8"/>
  <c r="R152" i="8"/>
  <c r="S152" i="8"/>
  <c r="N152" i="8"/>
  <c r="M71" i="8"/>
  <c r="N71" i="8"/>
  <c r="O71" i="8"/>
  <c r="P71" i="8"/>
  <c r="Q71" i="8"/>
  <c r="L71" i="8"/>
  <c r="M418" i="8"/>
  <c r="N418" i="8"/>
  <c r="O418" i="8"/>
  <c r="P418" i="8"/>
  <c r="Q418" i="8"/>
  <c r="L418" i="8"/>
  <c r="N387" i="8"/>
  <c r="O387" i="8"/>
  <c r="P387" i="8"/>
  <c r="Q387" i="8"/>
  <c r="R387" i="8"/>
  <c r="M387" i="8"/>
  <c r="N386" i="8"/>
  <c r="O386" i="8"/>
  <c r="Q386" i="8"/>
  <c r="R386" i="8"/>
  <c r="M386" i="8"/>
  <c r="M176" i="8"/>
  <c r="M178" i="8" s="1"/>
  <c r="N176" i="8"/>
  <c r="N178" i="8" s="1"/>
  <c r="O176" i="8"/>
  <c r="O178" i="8" s="1"/>
  <c r="P176" i="8"/>
  <c r="P178" i="8" s="1"/>
  <c r="Q176" i="8"/>
  <c r="Q178" i="8" s="1"/>
  <c r="L176" i="8"/>
  <c r="M173" i="8"/>
  <c r="M175" i="8" s="1"/>
  <c r="N173" i="8"/>
  <c r="N175" i="8" s="1"/>
  <c r="O173" i="8"/>
  <c r="O175" i="8" s="1"/>
  <c r="P173" i="8"/>
  <c r="P175" i="8" s="1"/>
  <c r="Q173" i="8"/>
  <c r="Q175" i="8" s="1"/>
  <c r="L173" i="8"/>
  <c r="L175" i="8" s="1"/>
  <c r="R384" i="8" l="1"/>
  <c r="N384" i="8"/>
  <c r="A3" i="6"/>
  <c r="A3" i="7" s="1"/>
  <c r="A3" i="5"/>
  <c r="A238" i="5" s="1"/>
  <c r="L178" i="8"/>
  <c r="M384" i="8"/>
  <c r="O384" i="8"/>
  <c r="O407" i="8"/>
  <c r="O389" i="8" s="1"/>
  <c r="N407" i="8"/>
  <c r="N389" i="8" s="1"/>
  <c r="R159" i="8"/>
  <c r="A3" i="4"/>
  <c r="P231" i="8"/>
  <c r="Q231" i="8"/>
  <c r="M231" i="8"/>
  <c r="L231" i="8"/>
  <c r="N231" i="8"/>
  <c r="O231" i="8"/>
  <c r="Q384" i="8"/>
  <c r="Q407" i="8"/>
  <c r="Q389" i="8" s="1"/>
  <c r="M171" i="8"/>
  <c r="N171" i="8"/>
  <c r="O171" i="8"/>
  <c r="P171" i="8"/>
  <c r="Q171" i="8"/>
  <c r="L171" i="8"/>
  <c r="M170" i="8"/>
  <c r="N170" i="8"/>
  <c r="O170" i="8"/>
  <c r="P170" i="8"/>
  <c r="Q170" i="8"/>
  <c r="L170" i="8"/>
  <c r="H531" i="4"/>
  <c r="M67" i="8"/>
  <c r="N67" i="8"/>
  <c r="O67" i="8"/>
  <c r="P67" i="8"/>
  <c r="Q67" i="8"/>
  <c r="L67" i="8"/>
  <c r="L172" i="8" l="1"/>
  <c r="O172" i="8"/>
  <c r="Q172" i="8"/>
  <c r="M172" i="8"/>
  <c r="P172" i="8"/>
  <c r="N172" i="8"/>
  <c r="M66" i="8"/>
  <c r="M68" i="8" s="1"/>
  <c r="D66" i="8" s="1"/>
  <c r="N66" i="8"/>
  <c r="N68" i="8" s="1"/>
  <c r="E66" i="8" s="1"/>
  <c r="O66" i="8"/>
  <c r="O68" i="8" s="1"/>
  <c r="F66" i="8" s="1"/>
  <c r="P66" i="8"/>
  <c r="P68" i="8" s="1"/>
  <c r="G66" i="8" s="1"/>
  <c r="Q66" i="8"/>
  <c r="Q68" i="8" s="1"/>
  <c r="H66" i="8" s="1"/>
  <c r="L66" i="8"/>
  <c r="L68" i="8" s="1"/>
  <c r="C66" i="8" s="1"/>
  <c r="Q62" i="8"/>
  <c r="Q64" i="8" s="1"/>
  <c r="M62" i="8"/>
  <c r="M64" i="8" s="1"/>
  <c r="N62" i="8"/>
  <c r="N64" i="8" s="1"/>
  <c r="O62" i="8"/>
  <c r="O64" i="8" s="1"/>
  <c r="P62" i="8"/>
  <c r="P64" i="8" s="1"/>
  <c r="L62" i="8"/>
  <c r="L64" i="8" s="1"/>
  <c r="P240" i="8"/>
  <c r="M240" i="8" s="1"/>
  <c r="P239" i="8"/>
  <c r="M239" i="8" s="1"/>
  <c r="L240" i="8"/>
  <c r="L239" i="8"/>
  <c r="M234" i="8"/>
  <c r="N234" i="8"/>
  <c r="O234" i="8"/>
  <c r="P234" i="8"/>
  <c r="Q234" i="8"/>
  <c r="L234" i="8"/>
  <c r="M233" i="8"/>
  <c r="N233" i="8"/>
  <c r="O233" i="8"/>
  <c r="P233" i="8"/>
  <c r="Q233" i="8"/>
  <c r="N571" i="8"/>
  <c r="N572" i="8" s="1"/>
  <c r="O571" i="8"/>
  <c r="O572" i="8" s="1"/>
  <c r="P571" i="8"/>
  <c r="P572" i="8" s="1"/>
  <c r="Q571" i="8"/>
  <c r="Q572" i="8" s="1"/>
  <c r="R571" i="8"/>
  <c r="R572" i="8" s="1"/>
  <c r="M571" i="8"/>
  <c r="M572" i="8" s="1"/>
  <c r="M585" i="8"/>
  <c r="M586" i="8" s="1"/>
  <c r="Q243" i="8"/>
  <c r="Q245" i="8" s="1"/>
  <c r="Q244" i="8"/>
  <c r="M244" i="8"/>
  <c r="N244" i="8"/>
  <c r="O244" i="8"/>
  <c r="P244" i="8"/>
  <c r="L244" i="8"/>
  <c r="M243" i="8"/>
  <c r="M245" i="8" s="1"/>
  <c r="N243" i="8"/>
  <c r="N245" i="8" s="1"/>
  <c r="O243" i="8"/>
  <c r="O245" i="8" s="1"/>
  <c r="P243" i="8"/>
  <c r="P245" i="8" s="1"/>
  <c r="L243" i="8"/>
  <c r="L245" i="8" s="1"/>
  <c r="L235" i="8" l="1"/>
  <c r="N239" i="8"/>
  <c r="P235" i="8"/>
  <c r="O235" i="8"/>
  <c r="Q235" i="8"/>
  <c r="M235" i="8"/>
  <c r="N235" i="8"/>
  <c r="N246" i="8"/>
  <c r="Q246" i="8"/>
  <c r="P246" i="8"/>
  <c r="N240" i="8"/>
  <c r="O246" i="8"/>
  <c r="L246" i="8"/>
  <c r="M246" i="8"/>
  <c r="M27" i="8"/>
  <c r="N27" i="8"/>
  <c r="O27" i="8"/>
  <c r="P27" i="8"/>
  <c r="Q27" i="8"/>
  <c r="M293" i="8"/>
  <c r="M295" i="8" s="1"/>
  <c r="N293" i="8"/>
  <c r="N295" i="8" s="1"/>
  <c r="O293" i="8"/>
  <c r="O295" i="8" s="1"/>
  <c r="P293" i="8"/>
  <c r="P295" i="8" s="1"/>
  <c r="Q293" i="8"/>
  <c r="Q295" i="8" s="1"/>
  <c r="L293" i="8"/>
  <c r="M278" i="8"/>
  <c r="M279" i="8" s="1"/>
  <c r="N278" i="8"/>
  <c r="N279" i="8" s="1"/>
  <c r="O278" i="8"/>
  <c r="O279" i="8" s="1"/>
  <c r="P278" i="8"/>
  <c r="P279" i="8" s="1"/>
  <c r="Q278" i="8"/>
  <c r="Q279" i="8" s="1"/>
  <c r="L278" i="8"/>
  <c r="L279" i="8" s="1"/>
  <c r="L28" i="8" s="1"/>
  <c r="M24" i="8" l="1"/>
  <c r="M434" i="8" s="1"/>
  <c r="N24" i="8"/>
  <c r="N434" i="8" s="1"/>
  <c r="O24" i="8"/>
  <c r="O434" i="8" s="1"/>
  <c r="P24" i="8"/>
  <c r="P434" i="8" s="1"/>
  <c r="Q24" i="8"/>
  <c r="Q434" i="8" s="1"/>
  <c r="L24" i="8"/>
  <c r="L434" i="8" s="1"/>
  <c r="M422" i="8"/>
  <c r="N422" i="8"/>
  <c r="O422" i="8"/>
  <c r="P422" i="8"/>
  <c r="Q422" i="8"/>
  <c r="L422" i="8"/>
  <c r="L426" i="8" s="1"/>
  <c r="C449" i="14" s="1"/>
  <c r="M421" i="8"/>
  <c r="N421" i="8"/>
  <c r="O421" i="8"/>
  <c r="P421" i="8"/>
  <c r="Q421" i="8"/>
  <c r="L421" i="8"/>
  <c r="L5" i="8"/>
  <c r="L6" i="8" s="1"/>
  <c r="N5" i="8" l="1"/>
  <c r="N6" i="8" s="1"/>
  <c r="O5" i="8"/>
  <c r="O6" i="8" s="1"/>
  <c r="P5" i="8"/>
  <c r="G22" i="8" l="1"/>
  <c r="D22" i="8"/>
  <c r="E22" i="8"/>
  <c r="F22" i="8"/>
  <c r="H22" i="8"/>
  <c r="D30" i="20"/>
  <c r="E30" i="20"/>
  <c r="F30" i="20"/>
  <c r="G30" i="20"/>
  <c r="H30" i="20"/>
  <c r="C30" i="20"/>
  <c r="A3" i="20"/>
  <c r="D98" i="8" l="1"/>
  <c r="D346" i="14" s="1"/>
  <c r="E98" i="8"/>
  <c r="E346" i="14" s="1"/>
  <c r="F98" i="8"/>
  <c r="F346" i="14" s="1"/>
  <c r="G98" i="8"/>
  <c r="G346" i="14" s="1"/>
  <c r="H98" i="8"/>
  <c r="H346" i="14" s="1"/>
  <c r="C98" i="8"/>
  <c r="C346" i="14" s="1"/>
  <c r="D417" i="4"/>
  <c r="E417" i="4"/>
  <c r="F417" i="4"/>
  <c r="K417" i="4" s="1"/>
  <c r="G417" i="4"/>
  <c r="H417" i="4"/>
  <c r="C417" i="4"/>
  <c r="C205" i="13"/>
  <c r="D205" i="13"/>
  <c r="E205" i="13"/>
  <c r="F205" i="13"/>
  <c r="G205" i="13"/>
  <c r="H205" i="13"/>
  <c r="D214" i="3"/>
  <c r="E214" i="3"/>
  <c r="F214" i="3"/>
  <c r="G214" i="3"/>
  <c r="H214" i="3"/>
  <c r="C214" i="3"/>
  <c r="D150" i="5"/>
  <c r="H150" i="5"/>
  <c r="C150" i="5"/>
  <c r="C556" i="8" l="1"/>
  <c r="C164" i="14" s="1"/>
  <c r="D556" i="8"/>
  <c r="D164" i="14" s="1"/>
  <c r="E556" i="8"/>
  <c r="E164" i="14" s="1"/>
  <c r="F556" i="8"/>
  <c r="F164" i="14" s="1"/>
  <c r="G556" i="8"/>
  <c r="G164" i="14" s="1"/>
  <c r="H556" i="8"/>
  <c r="H164" i="14" s="1"/>
  <c r="B556" i="8"/>
  <c r="C194" i="4"/>
  <c r="A780" i="6"/>
  <c r="A782" i="6"/>
  <c r="A784" i="6"/>
  <c r="G625" i="6" l="1"/>
  <c r="D32" i="8" l="1"/>
  <c r="D234" i="14" s="1"/>
  <c r="E32" i="8"/>
  <c r="E234" i="14" s="1"/>
  <c r="F32" i="8"/>
  <c r="F234" i="14" s="1"/>
  <c r="G32" i="8"/>
  <c r="G234" i="14" s="1"/>
  <c r="H32" i="8"/>
  <c r="H234" i="14" s="1"/>
  <c r="C32" i="8"/>
  <c r="C234" i="14" s="1"/>
  <c r="D274" i="4"/>
  <c r="E274" i="4"/>
  <c r="F274" i="4"/>
  <c r="K274" i="4" s="1"/>
  <c r="G274" i="4"/>
  <c r="H274" i="4"/>
  <c r="C274" i="4"/>
  <c r="D188" i="4"/>
  <c r="E188" i="4"/>
  <c r="F188" i="4"/>
  <c r="K188" i="4" s="1"/>
  <c r="G188" i="4"/>
  <c r="H188" i="4"/>
  <c r="C188" i="4"/>
  <c r="C418" i="14"/>
  <c r="D480" i="8"/>
  <c r="D418" i="14" s="1"/>
  <c r="E480" i="8"/>
  <c r="E418" i="14" s="1"/>
  <c r="F480" i="8"/>
  <c r="F418" i="14" s="1"/>
  <c r="G480" i="8"/>
  <c r="G418" i="14" s="1"/>
  <c r="H480" i="8"/>
  <c r="H418" i="14" s="1"/>
  <c r="B480" i="8"/>
  <c r="D495" i="4"/>
  <c r="E495" i="4"/>
  <c r="F495" i="4"/>
  <c r="K495" i="4" s="1"/>
  <c r="G495" i="4"/>
  <c r="H495" i="4"/>
  <c r="C495" i="4"/>
  <c r="D304" i="4"/>
  <c r="E304" i="4"/>
  <c r="F304" i="4"/>
  <c r="G304" i="4"/>
  <c r="H304" i="4"/>
  <c r="C304" i="4"/>
  <c r="C114" i="8"/>
  <c r="C419" i="14" s="1"/>
  <c r="D114" i="8"/>
  <c r="D419" i="14" s="1"/>
  <c r="E114" i="8"/>
  <c r="E419" i="14" s="1"/>
  <c r="F114" i="8"/>
  <c r="F419" i="14" s="1"/>
  <c r="G114" i="8"/>
  <c r="G419" i="14" s="1"/>
  <c r="H114" i="8"/>
  <c r="H419" i="14" s="1"/>
  <c r="B114" i="8"/>
  <c r="D496" i="4"/>
  <c r="E496" i="4"/>
  <c r="F496" i="4"/>
  <c r="K496" i="4" s="1"/>
  <c r="G496" i="4"/>
  <c r="H496" i="4"/>
  <c r="C496" i="4"/>
  <c r="G472" i="6"/>
  <c r="H28" i="16" s="1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C63" i="19"/>
  <c r="E63" i="19"/>
  <c r="D63" i="19"/>
  <c r="K304" i="4" l="1"/>
  <c r="D124" i="8"/>
  <c r="E124" i="8"/>
  <c r="F124" i="8"/>
  <c r="G124" i="8"/>
  <c r="H124" i="8"/>
  <c r="C124" i="8"/>
  <c r="D127" i="4"/>
  <c r="E127" i="4"/>
  <c r="F127" i="4"/>
  <c r="G127" i="4"/>
  <c r="H127" i="4"/>
  <c r="C127" i="4"/>
  <c r="K127" i="4" l="1"/>
  <c r="N150" i="8"/>
  <c r="D374" i="4"/>
  <c r="E374" i="4"/>
  <c r="F374" i="4"/>
  <c r="K374" i="4" s="1"/>
  <c r="G374" i="4"/>
  <c r="H374" i="4"/>
  <c r="C374" i="4"/>
  <c r="D287" i="4"/>
  <c r="E287" i="4"/>
  <c r="F287" i="4"/>
  <c r="K287" i="4" s="1"/>
  <c r="G287" i="4"/>
  <c r="H287" i="4"/>
  <c r="C287" i="4"/>
  <c r="A221" i="3"/>
  <c r="A196" i="7"/>
  <c r="A3" i="8" s="1"/>
  <c r="A597" i="8" s="1"/>
  <c r="A3" i="13" s="1"/>
  <c r="A817" i="6"/>
  <c r="N585" i="8"/>
  <c r="N586" i="8" s="1"/>
  <c r="O585" i="8"/>
  <c r="O586" i="8" s="1"/>
  <c r="P585" i="8"/>
  <c r="P586" i="8" s="1"/>
  <c r="Q585" i="8"/>
  <c r="Q586" i="8" s="1"/>
  <c r="G106" i="14" s="1"/>
  <c r="R585" i="8"/>
  <c r="R586" i="8" s="1"/>
  <c r="G403" i="14"/>
  <c r="P291" i="8"/>
  <c r="P292" i="8" s="1"/>
  <c r="E240" i="8"/>
  <c r="G229" i="8"/>
  <c r="O299" i="8"/>
  <c r="P37" i="8"/>
  <c r="R166" i="8"/>
  <c r="R167" i="8" s="1"/>
  <c r="G104" i="8"/>
  <c r="M28" i="8"/>
  <c r="M29" i="8" s="1"/>
  <c r="N28" i="8"/>
  <c r="N29" i="8" s="1"/>
  <c r="O28" i="8"/>
  <c r="O29" i="8" s="1"/>
  <c r="P28" i="8"/>
  <c r="P29" i="8" s="1"/>
  <c r="Q28" i="8"/>
  <c r="Q29" i="8" s="1"/>
  <c r="L281" i="8"/>
  <c r="L433" i="8"/>
  <c r="L435" i="8" s="1"/>
  <c r="M431" i="8"/>
  <c r="M5" i="8"/>
  <c r="M6" i="8" s="1"/>
  <c r="O431" i="8"/>
  <c r="P431" i="8"/>
  <c r="P6" i="8"/>
  <c r="K5" i="8"/>
  <c r="K6" i="8" s="1"/>
  <c r="L431" i="8" s="1"/>
  <c r="A3" i="14" l="1"/>
  <c r="A212" i="13"/>
  <c r="N431" i="8"/>
  <c r="Q431" i="8"/>
  <c r="G298" i="14"/>
  <c r="G291" i="14"/>
  <c r="G411" i="14"/>
  <c r="C432" i="8"/>
  <c r="G12" i="8"/>
  <c r="Q394" i="8"/>
  <c r="G490" i="14" s="1"/>
  <c r="A2" i="9" l="1"/>
  <c r="A633" i="14"/>
  <c r="G317" i="8"/>
  <c r="G316" i="8"/>
  <c r="G76" i="8"/>
  <c r="G600" i="14" s="1"/>
  <c r="G75" i="8"/>
  <c r="G562" i="14" s="1"/>
  <c r="C23" i="14"/>
  <c r="C65" i="8"/>
  <c r="C477" i="14" s="1"/>
  <c r="C67" i="8"/>
  <c r="C136" i="14" s="1"/>
  <c r="C69" i="8"/>
  <c r="C69" i="14" s="1"/>
  <c r="C70" i="8"/>
  <c r="C172" i="14" s="1"/>
  <c r="C71" i="8"/>
  <c r="C368" i="14" s="1"/>
  <c r="C72" i="8"/>
  <c r="C505" i="14" s="1"/>
  <c r="L316" i="8"/>
  <c r="M316" i="8"/>
  <c r="N316" i="8"/>
  <c r="O316" i="8"/>
  <c r="P316" i="8"/>
  <c r="K316" i="8"/>
  <c r="K318" i="8" s="1"/>
  <c r="L312" i="8"/>
  <c r="L314" i="8" s="1"/>
  <c r="D311" i="8" s="1"/>
  <c r="D306" i="14" s="1"/>
  <c r="M312" i="8"/>
  <c r="M314" i="8" s="1"/>
  <c r="E311" i="8" s="1"/>
  <c r="E306" i="14" s="1"/>
  <c r="N312" i="8"/>
  <c r="N314" i="8" s="1"/>
  <c r="F311" i="8" s="1"/>
  <c r="O312" i="8"/>
  <c r="O314" i="8" s="1"/>
  <c r="G311" i="8" s="1"/>
  <c r="G306" i="14" s="1"/>
  <c r="P312" i="8"/>
  <c r="P314" i="8" s="1"/>
  <c r="H311" i="8" s="1"/>
  <c r="H306" i="14" s="1"/>
  <c r="K312" i="8"/>
  <c r="K314" i="8" s="1"/>
  <c r="C311" i="8" s="1"/>
  <c r="C306" i="14" s="1"/>
  <c r="P309" i="8"/>
  <c r="P311" i="8" s="1"/>
  <c r="O309" i="8"/>
  <c r="O311" i="8" s="1"/>
  <c r="N309" i="8"/>
  <c r="N311" i="8" s="1"/>
  <c r="M309" i="8"/>
  <c r="M311" i="8" s="1"/>
  <c r="L309" i="8"/>
  <c r="L311" i="8" s="1"/>
  <c r="G868" i="6"/>
  <c r="H27" i="16" s="1"/>
  <c r="D85" i="8"/>
  <c r="D344" i="14" s="1"/>
  <c r="D175" i="8"/>
  <c r="D347" i="14" s="1"/>
  <c r="D348" i="14"/>
  <c r="D363" i="8"/>
  <c r="D349" i="14" s="1"/>
  <c r="D353" i="14"/>
  <c r="D330" i="8"/>
  <c r="D354" i="14" s="1"/>
  <c r="D544" i="8"/>
  <c r="D355" i="14" s="1"/>
  <c r="D381" i="8"/>
  <c r="D356" i="14" s="1"/>
  <c r="D451" i="8"/>
  <c r="D358" i="14" s="1"/>
  <c r="E85" i="8"/>
  <c r="E344" i="14" s="1"/>
  <c r="E175" i="8"/>
  <c r="E347" i="14" s="1"/>
  <c r="E348" i="14"/>
  <c r="E363" i="8"/>
  <c r="E349" i="14" s="1"/>
  <c r="E353" i="14"/>
  <c r="E330" i="8"/>
  <c r="E354" i="14" s="1"/>
  <c r="E544" i="8"/>
  <c r="E355" i="14" s="1"/>
  <c r="E381" i="8"/>
  <c r="E356" i="14" s="1"/>
  <c r="E451" i="8"/>
  <c r="E358" i="14" s="1"/>
  <c r="F85" i="8"/>
  <c r="F344" i="14" s="1"/>
  <c r="F175" i="8"/>
  <c r="F347" i="14" s="1"/>
  <c r="F348" i="14"/>
  <c r="F363" i="8"/>
  <c r="F349" i="14" s="1"/>
  <c r="F353" i="14"/>
  <c r="F330" i="8"/>
  <c r="F354" i="14" s="1"/>
  <c r="F544" i="8"/>
  <c r="F355" i="14" s="1"/>
  <c r="F381" i="8"/>
  <c r="F356" i="14" s="1"/>
  <c r="F451" i="8"/>
  <c r="F358" i="14" s="1"/>
  <c r="G85" i="8"/>
  <c r="G344" i="14" s="1"/>
  <c r="G175" i="8"/>
  <c r="G347" i="14" s="1"/>
  <c r="G348" i="14"/>
  <c r="G363" i="8"/>
  <c r="G349" i="14" s="1"/>
  <c r="G353" i="14"/>
  <c r="G330" i="8"/>
  <c r="G354" i="14" s="1"/>
  <c r="G544" i="8"/>
  <c r="G355" i="14" s="1"/>
  <c r="G381" i="8"/>
  <c r="G356" i="14" s="1"/>
  <c r="G451" i="8"/>
  <c r="G358" i="14" s="1"/>
  <c r="H589" i="8"/>
  <c r="H359" i="14" s="1"/>
  <c r="G359" i="14"/>
  <c r="F589" i="8"/>
  <c r="F359" i="14" s="1"/>
  <c r="E589" i="8"/>
  <c r="E359" i="14" s="1"/>
  <c r="D589" i="8"/>
  <c r="D359" i="14" s="1"/>
  <c r="C589" i="8"/>
  <c r="C359" i="14" s="1"/>
  <c r="E413" i="4"/>
  <c r="E414" i="4"/>
  <c r="E415" i="4"/>
  <c r="E418" i="4"/>
  <c r="E419" i="4"/>
  <c r="E422" i="4"/>
  <c r="E423" i="4"/>
  <c r="E425" i="4"/>
  <c r="E427" i="4"/>
  <c r="E428" i="4"/>
  <c r="E429" i="4"/>
  <c r="E430" i="4"/>
  <c r="F413" i="4"/>
  <c r="K413" i="4" s="1"/>
  <c r="F414" i="4"/>
  <c r="K414" i="4" s="1"/>
  <c r="F415" i="4"/>
  <c r="K415" i="4" s="1"/>
  <c r="F418" i="4"/>
  <c r="K418" i="4" s="1"/>
  <c r="F419" i="4"/>
  <c r="K419" i="4" s="1"/>
  <c r="F422" i="4"/>
  <c r="K422" i="4" s="1"/>
  <c r="F423" i="4"/>
  <c r="K423" i="4" s="1"/>
  <c r="F425" i="4"/>
  <c r="K425" i="4" s="1"/>
  <c r="F427" i="4"/>
  <c r="F428" i="4"/>
  <c r="K428" i="4" s="1"/>
  <c r="F429" i="4"/>
  <c r="K429" i="4" s="1"/>
  <c r="F430" i="4"/>
  <c r="K430" i="4" s="1"/>
  <c r="G413" i="4"/>
  <c r="G414" i="4"/>
  <c r="G415" i="4"/>
  <c r="G418" i="4"/>
  <c r="G419" i="4"/>
  <c r="G422" i="4"/>
  <c r="G423" i="4"/>
  <c r="G425" i="4"/>
  <c r="G427" i="4"/>
  <c r="G428" i="4"/>
  <c r="G429" i="4"/>
  <c r="G430" i="4"/>
  <c r="D433" i="4"/>
  <c r="E433" i="4"/>
  <c r="F433" i="4"/>
  <c r="K433" i="4" s="1"/>
  <c r="G433" i="4"/>
  <c r="H433" i="4"/>
  <c r="C433" i="4"/>
  <c r="G813" i="6"/>
  <c r="H572" i="8"/>
  <c r="H49" i="14" s="1"/>
  <c r="H30" i="14"/>
  <c r="H51" i="8"/>
  <c r="H32" i="14" s="1"/>
  <c r="H33" i="14"/>
  <c r="H116" i="8"/>
  <c r="H34" i="14" s="1"/>
  <c r="H139" i="8"/>
  <c r="H35" i="14" s="1"/>
  <c r="H172" i="8"/>
  <c r="H36" i="14" s="1"/>
  <c r="H195" i="8"/>
  <c r="H37" i="14" s="1"/>
  <c r="H38" i="14"/>
  <c r="H240" i="8"/>
  <c r="H39" i="14" s="1"/>
  <c r="H226" i="8"/>
  <c r="H40" i="14" s="1"/>
  <c r="H250" i="8"/>
  <c r="H271" i="8"/>
  <c r="H42" i="14" s="1"/>
  <c r="H44" i="14"/>
  <c r="H382" i="8"/>
  <c r="H45" i="14" s="1"/>
  <c r="H519" i="8"/>
  <c r="H46" i="14" s="1"/>
  <c r="H505" i="8"/>
  <c r="H47" i="14" s="1"/>
  <c r="H491" i="8"/>
  <c r="H48" i="14" s="1"/>
  <c r="H555" i="8"/>
  <c r="H50" i="14" s="1"/>
  <c r="H142" i="8"/>
  <c r="H8" i="14" s="1"/>
  <c r="H269" i="8"/>
  <c r="H9" i="14" s="1"/>
  <c r="H571" i="8"/>
  <c r="H475" i="8"/>
  <c r="H16" i="14" s="1"/>
  <c r="H325" i="8"/>
  <c r="H22" i="14" s="1"/>
  <c r="H64" i="8"/>
  <c r="H121" i="8"/>
  <c r="H56" i="14" s="1"/>
  <c r="H287" i="8"/>
  <c r="H58" i="14" s="1"/>
  <c r="H454" i="8"/>
  <c r="H59" i="14" s="1"/>
  <c r="H60" i="14"/>
  <c r="H522" i="8"/>
  <c r="H61" i="14" s="1"/>
  <c r="H542" i="8"/>
  <c r="H62" i="14" s="1"/>
  <c r="H63" i="14"/>
  <c r="H69" i="8"/>
  <c r="H69" i="14" s="1"/>
  <c r="H122" i="8"/>
  <c r="H71" i="14" s="1"/>
  <c r="H181" i="8"/>
  <c r="H72" i="14" s="1"/>
  <c r="H291" i="8"/>
  <c r="H293" i="8"/>
  <c r="H383" i="8"/>
  <c r="H74" i="14" s="1"/>
  <c r="H75" i="14"/>
  <c r="H433" i="8"/>
  <c r="H76" i="14" s="1"/>
  <c r="H495" i="8"/>
  <c r="H77" i="14" s="1"/>
  <c r="H523" i="8"/>
  <c r="H78" i="14" s="1"/>
  <c r="H584" i="8"/>
  <c r="H79" i="14" s="1"/>
  <c r="H33" i="8"/>
  <c r="H85" i="14" s="1"/>
  <c r="H96" i="8"/>
  <c r="H86" i="14" s="1"/>
  <c r="H173" i="8"/>
  <c r="H92" i="14" s="1"/>
  <c r="H465" i="8"/>
  <c r="H93" i="14" s="1"/>
  <c r="H52" i="8"/>
  <c r="H99" i="14" s="1"/>
  <c r="H101" i="14"/>
  <c r="H265" i="8"/>
  <c r="H102" i="14" s="1"/>
  <c r="H450" i="8"/>
  <c r="H103" i="14" s="1"/>
  <c r="H472" i="8"/>
  <c r="H104" i="14" s="1"/>
  <c r="H520" i="8"/>
  <c r="H105" i="14" s="1"/>
  <c r="H100" i="14"/>
  <c r="H106" i="14"/>
  <c r="H36" i="8"/>
  <c r="H113" i="14" s="1"/>
  <c r="H114" i="14"/>
  <c r="H185" i="8"/>
  <c r="H115" i="14" s="1"/>
  <c r="H292" i="8"/>
  <c r="H116" i="14" s="1"/>
  <c r="H117" i="14"/>
  <c r="H560" i="8"/>
  <c r="H118" i="14" s="1"/>
  <c r="H524" i="8"/>
  <c r="H121" i="14" s="1"/>
  <c r="H119" i="14"/>
  <c r="H102" i="8"/>
  <c r="H128" i="14" s="1"/>
  <c r="H129" i="14"/>
  <c r="H115" i="8"/>
  <c r="H135" i="14" s="1"/>
  <c r="H67" i="8"/>
  <c r="H136" i="14" s="1"/>
  <c r="H136" i="8"/>
  <c r="H137" i="14" s="1"/>
  <c r="H138" i="14"/>
  <c r="H377" i="8"/>
  <c r="H139" i="14" s="1"/>
  <c r="H521" i="8"/>
  <c r="H140" i="14" s="1"/>
  <c r="H30" i="8"/>
  <c r="H148" i="14" s="1"/>
  <c r="H111" i="8"/>
  <c r="H151" i="14" s="1"/>
  <c r="H261" i="8"/>
  <c r="H153" i="14" s="1"/>
  <c r="H288" i="8"/>
  <c r="H154" i="14" s="1"/>
  <c r="H359" i="8"/>
  <c r="H157" i="14" s="1"/>
  <c r="H378" i="8"/>
  <c r="H158" i="14" s="1"/>
  <c r="H515" i="8"/>
  <c r="H162" i="14" s="1"/>
  <c r="H537" i="8"/>
  <c r="H163" i="14" s="1"/>
  <c r="H70" i="8"/>
  <c r="H172" i="14" s="1"/>
  <c r="H141" i="8"/>
  <c r="H173" i="14" s="1"/>
  <c r="H252" i="8"/>
  <c r="H175" i="14" s="1"/>
  <c r="H264" i="8"/>
  <c r="H176" i="14" s="1"/>
  <c r="H312" i="8"/>
  <c r="H177" i="14" s="1"/>
  <c r="H410" i="8"/>
  <c r="H178" i="14" s="1"/>
  <c r="H506" i="8"/>
  <c r="H179" i="14" s="1"/>
  <c r="H313" i="8"/>
  <c r="H193" i="14" s="1"/>
  <c r="H194" i="14" s="1"/>
  <c r="H186" i="14"/>
  <c r="H188" i="14" s="1"/>
  <c r="H35" i="8"/>
  <c r="H200" i="14" s="1"/>
  <c r="H50" i="8"/>
  <c r="H201" i="14" s="1"/>
  <c r="H84" i="8"/>
  <c r="H202" i="14" s="1"/>
  <c r="H117" i="8"/>
  <c r="H204" i="14" s="1"/>
  <c r="H135" i="8"/>
  <c r="H205" i="14" s="1"/>
  <c r="H227" i="8"/>
  <c r="H209" i="14" s="1"/>
  <c r="H270" i="8"/>
  <c r="H211" i="14" s="1"/>
  <c r="H328" i="8"/>
  <c r="H213" i="14" s="1"/>
  <c r="H379" i="8"/>
  <c r="H216" i="14" s="1"/>
  <c r="H217" i="14"/>
  <c r="H219" i="14"/>
  <c r="H449" i="8"/>
  <c r="H220" i="14" s="1"/>
  <c r="H221" i="14"/>
  <c r="H490" i="8"/>
  <c r="H222" i="14" s="1"/>
  <c r="H518" i="8"/>
  <c r="H223" i="14" s="1"/>
  <c r="H541" i="8"/>
  <c r="H224" i="14" s="1"/>
  <c r="H558" i="8"/>
  <c r="H225" i="14" s="1"/>
  <c r="H578" i="8"/>
  <c r="H226" i="14" s="1"/>
  <c r="H48" i="8"/>
  <c r="H233" i="14" s="1"/>
  <c r="H112" i="8"/>
  <c r="H235" i="14" s="1"/>
  <c r="H137" i="8"/>
  <c r="H236" i="14" s="1"/>
  <c r="H237" i="14"/>
  <c r="H166" i="8"/>
  <c r="H238" i="14" s="1"/>
  <c r="H239" i="14"/>
  <c r="H327" i="8"/>
  <c r="H240" i="14" s="1"/>
  <c r="H241" i="14"/>
  <c r="H357" i="8"/>
  <c r="H446" i="8"/>
  <c r="H245" i="14" s="1"/>
  <c r="H425" i="8"/>
  <c r="H246" i="14" s="1"/>
  <c r="H538" i="8"/>
  <c r="H247" i="14" s="1"/>
  <c r="H575" i="8"/>
  <c r="H248" i="14" s="1"/>
  <c r="H254" i="14"/>
  <c r="H263" i="8"/>
  <c r="H255" i="14" s="1"/>
  <c r="H326" i="8"/>
  <c r="H256" i="14" s="1"/>
  <c r="H257" i="14"/>
  <c r="H539" i="8"/>
  <c r="H259" i="14" s="1"/>
  <c r="H28" i="8"/>
  <c r="H266" i="14" s="1"/>
  <c r="H47" i="8"/>
  <c r="H118" i="8"/>
  <c r="H268" i="14" s="1"/>
  <c r="H269" i="14"/>
  <c r="H179" i="8"/>
  <c r="H270" i="14" s="1"/>
  <c r="H193" i="8"/>
  <c r="H271" i="14" s="1"/>
  <c r="H272" i="14"/>
  <c r="H262" i="8"/>
  <c r="H275" i="14" s="1"/>
  <c r="H276" i="14"/>
  <c r="H362" i="8"/>
  <c r="H277" i="14" s="1"/>
  <c r="H445" i="8"/>
  <c r="H280" i="14" s="1"/>
  <c r="H281" i="14"/>
  <c r="H536" i="8"/>
  <c r="H283" i="14" s="1"/>
  <c r="H273" i="14"/>
  <c r="H49" i="8"/>
  <c r="H292" i="14" s="1"/>
  <c r="H82" i="8"/>
  <c r="H293" i="14" s="1"/>
  <c r="H94" i="8"/>
  <c r="H295" i="14" s="1"/>
  <c r="H110" i="8"/>
  <c r="H296" i="14" s="1"/>
  <c r="H138" i="8"/>
  <c r="H297" i="14" s="1"/>
  <c r="H299" i="14"/>
  <c r="H194" i="8"/>
  <c r="H300" i="14" s="1"/>
  <c r="H301" i="14"/>
  <c r="H225" i="8"/>
  <c r="H302" i="14" s="1"/>
  <c r="H303" i="14"/>
  <c r="H268" i="8"/>
  <c r="H305" i="14" s="1"/>
  <c r="H324" i="8"/>
  <c r="H307" i="14" s="1"/>
  <c r="H308" i="14"/>
  <c r="H361" i="8"/>
  <c r="H309" i="14" s="1"/>
  <c r="H376" i="8"/>
  <c r="H310" i="14" s="1"/>
  <c r="H312" i="14"/>
  <c r="H447" i="8"/>
  <c r="H314" i="14" s="1"/>
  <c r="H315" i="14"/>
  <c r="H489" i="8"/>
  <c r="H316" i="14" s="1"/>
  <c r="H517" i="8"/>
  <c r="H317" i="14" s="1"/>
  <c r="H540" i="8"/>
  <c r="H318" i="14" s="1"/>
  <c r="H553" i="8"/>
  <c r="H319" i="14" s="1"/>
  <c r="H576" i="8"/>
  <c r="H320" i="14" s="1"/>
  <c r="H291" i="14"/>
  <c r="H294" i="14"/>
  <c r="H326" i="14"/>
  <c r="H119" i="8"/>
  <c r="H327" i="14" s="1"/>
  <c r="H300" i="8"/>
  <c r="H328" i="14" s="1"/>
  <c r="H97" i="8"/>
  <c r="H336" i="14" s="1"/>
  <c r="H375" i="8"/>
  <c r="H337" i="14" s="1"/>
  <c r="H85" i="8"/>
  <c r="H344" i="14" s="1"/>
  <c r="H175" i="8"/>
  <c r="H347" i="14" s="1"/>
  <c r="H348" i="14"/>
  <c r="H363" i="8"/>
  <c r="H349" i="14" s="1"/>
  <c r="H272" i="8"/>
  <c r="H353" i="14" s="1"/>
  <c r="H330" i="8"/>
  <c r="H354" i="14" s="1"/>
  <c r="H544" i="8"/>
  <c r="H355" i="14" s="1"/>
  <c r="H381" i="8"/>
  <c r="H356" i="14" s="1"/>
  <c r="H451" i="8"/>
  <c r="H358" i="14" s="1"/>
  <c r="H86" i="8"/>
  <c r="H71" i="8"/>
  <c r="H368" i="14" s="1"/>
  <c r="H178" i="8"/>
  <c r="H177" i="8"/>
  <c r="H364" i="8"/>
  <c r="H370" i="14" s="1"/>
  <c r="H273" i="8"/>
  <c r="H371" i="14" s="1"/>
  <c r="H456" i="8"/>
  <c r="H372" i="14" s="1"/>
  <c r="H329" i="8"/>
  <c r="H375" i="14" s="1"/>
  <c r="H574" i="8"/>
  <c r="H376" i="14" s="1"/>
  <c r="H101" i="8"/>
  <c r="H384" i="14" s="1"/>
  <c r="H123" i="8"/>
  <c r="H386" i="14" s="1"/>
  <c r="H182" i="8"/>
  <c r="H388" i="14" s="1"/>
  <c r="H266" i="8"/>
  <c r="H389" i="14" s="1"/>
  <c r="H453" i="8"/>
  <c r="H390" i="14" s="1"/>
  <c r="H527" i="8"/>
  <c r="H391" i="14" s="1"/>
  <c r="H583" i="8"/>
  <c r="H394" i="14" s="1"/>
  <c r="H12" i="8"/>
  <c r="H400" i="14" s="1"/>
  <c r="H31" i="8"/>
  <c r="H401" i="14" s="1"/>
  <c r="H170" i="8"/>
  <c r="H402" i="14" s="1"/>
  <c r="H404" i="14"/>
  <c r="H113" i="8"/>
  <c r="H405" i="14" s="1"/>
  <c r="H448" i="8"/>
  <c r="H406" i="14" s="1"/>
  <c r="H407" i="14"/>
  <c r="H408" i="14"/>
  <c r="H494" i="8"/>
  <c r="H409" i="14" s="1"/>
  <c r="H554" i="8"/>
  <c r="H410" i="14" s="1"/>
  <c r="H411" i="14"/>
  <c r="H403" i="14"/>
  <c r="H582" i="8"/>
  <c r="H417" i="14" s="1"/>
  <c r="H11" i="8"/>
  <c r="H425" i="14" s="1"/>
  <c r="H428" i="14"/>
  <c r="H296" i="8"/>
  <c r="H429" i="14" s="1"/>
  <c r="H516" i="8"/>
  <c r="H431" i="14" s="1"/>
  <c r="H493" i="8"/>
  <c r="H432" i="14" s="1"/>
  <c r="H439" i="14"/>
  <c r="H125" i="8"/>
  <c r="H441" i="14" s="1"/>
  <c r="H183" i="8"/>
  <c r="H443" i="14" s="1"/>
  <c r="H455" i="8"/>
  <c r="H447" i="14" s="1"/>
  <c r="H448" i="14"/>
  <c r="H450" i="14"/>
  <c r="H492" i="8"/>
  <c r="H451" i="14" s="1"/>
  <c r="H543" i="8"/>
  <c r="H452" i="14" s="1"/>
  <c r="H525" i="8"/>
  <c r="H453" i="14" s="1"/>
  <c r="H559" i="8"/>
  <c r="H454" i="14" s="1"/>
  <c r="H358" i="8"/>
  <c r="H461" i="14" s="1"/>
  <c r="H314" i="8"/>
  <c r="H462" i="14" s="1"/>
  <c r="H427" i="8"/>
  <c r="H463" i="14" s="1"/>
  <c r="H251" i="8"/>
  <c r="H469" i="14" s="1"/>
  <c r="H470" i="14" s="1"/>
  <c r="H83" i="8"/>
  <c r="H476" i="14" s="1"/>
  <c r="H65" i="8"/>
  <c r="H477" i="14" s="1"/>
  <c r="H127" i="8"/>
  <c r="H478" i="14" s="1"/>
  <c r="H95" i="8"/>
  <c r="H479" i="14" s="1"/>
  <c r="H140" i="8"/>
  <c r="H480" i="14" s="1"/>
  <c r="H171" i="8"/>
  <c r="H482" i="14" s="1"/>
  <c r="H196" i="8"/>
  <c r="H483" i="14" s="1"/>
  <c r="H224" i="8"/>
  <c r="H485" i="14" s="1"/>
  <c r="H323" i="8"/>
  <c r="H360" i="8"/>
  <c r="H488" i="14" s="1"/>
  <c r="H374" i="8"/>
  <c r="H489" i="14" s="1"/>
  <c r="H407" i="8"/>
  <c r="H491" i="14" s="1"/>
  <c r="H497" i="14"/>
  <c r="H37" i="8"/>
  <c r="H504" i="14" s="1"/>
  <c r="H72" i="8"/>
  <c r="H505" i="14" s="1"/>
  <c r="H99" i="8"/>
  <c r="H506" i="14" s="1"/>
  <c r="H126" i="8"/>
  <c r="H507" i="14" s="1"/>
  <c r="H508" i="14"/>
  <c r="H180" i="8"/>
  <c r="H509" i="14" s="1"/>
  <c r="H510" i="14"/>
  <c r="H290" i="8"/>
  <c r="H511" i="14" s="1"/>
  <c r="H267" i="8"/>
  <c r="H512" i="14" s="1"/>
  <c r="H380" i="8"/>
  <c r="H513" i="14" s="1"/>
  <c r="H477" i="8"/>
  <c r="H514" i="14" s="1"/>
  <c r="H561" i="8"/>
  <c r="H515" i="14" s="1"/>
  <c r="H516" i="14"/>
  <c r="H517" i="14"/>
  <c r="H526" i="14"/>
  <c r="H557" i="8"/>
  <c r="H528" i="14" s="1"/>
  <c r="H534" i="14"/>
  <c r="H53" i="8"/>
  <c r="H536" i="14" s="1"/>
  <c r="H120" i="8"/>
  <c r="H537" i="14" s="1"/>
  <c r="H297" i="8"/>
  <c r="H540" i="14" s="1"/>
  <c r="H384" i="8"/>
  <c r="H542" i="14" s="1"/>
  <c r="H452" i="8"/>
  <c r="H543" i="14" s="1"/>
  <c r="H471" i="8"/>
  <c r="H544" i="14" s="1"/>
  <c r="H526" i="8"/>
  <c r="H545" i="14" s="1"/>
  <c r="H538" i="14"/>
  <c r="H54" i="4"/>
  <c r="H31" i="4"/>
  <c r="H32" i="4"/>
  <c r="H33" i="4"/>
  <c r="H34" i="4"/>
  <c r="H35" i="4"/>
  <c r="H36" i="4"/>
  <c r="H37" i="4"/>
  <c r="H38" i="4"/>
  <c r="H40" i="4"/>
  <c r="H41" i="4"/>
  <c r="H43" i="4"/>
  <c r="H44" i="4"/>
  <c r="H45" i="4"/>
  <c r="H46" i="4"/>
  <c r="H47" i="4"/>
  <c r="H48" i="4"/>
  <c r="H49" i="4"/>
  <c r="H50" i="4"/>
  <c r="H51" i="4"/>
  <c r="H52" i="4"/>
  <c r="H55" i="4"/>
  <c r="H7" i="4"/>
  <c r="H8" i="4"/>
  <c r="H9" i="4"/>
  <c r="H16" i="4"/>
  <c r="H23" i="4"/>
  <c r="H24" i="4"/>
  <c r="H61" i="4"/>
  <c r="H62" i="4"/>
  <c r="H63" i="4"/>
  <c r="H64" i="4"/>
  <c r="H65" i="4"/>
  <c r="H66" i="4"/>
  <c r="H67" i="4"/>
  <c r="H68" i="4"/>
  <c r="H69" i="4"/>
  <c r="H75" i="4"/>
  <c r="H77" i="4"/>
  <c r="H78" i="4"/>
  <c r="H79" i="4"/>
  <c r="H81" i="4"/>
  <c r="H82" i="4"/>
  <c r="H83" i="4"/>
  <c r="H84" i="4"/>
  <c r="H85" i="4"/>
  <c r="H86" i="4"/>
  <c r="H87" i="4"/>
  <c r="H88" i="4"/>
  <c r="H89" i="4"/>
  <c r="H95" i="4"/>
  <c r="H96" i="4"/>
  <c r="H102" i="4"/>
  <c r="H103" i="4"/>
  <c r="H109" i="4"/>
  <c r="H111" i="4"/>
  <c r="H112" i="4"/>
  <c r="H113" i="4"/>
  <c r="H114" i="4"/>
  <c r="H115" i="4"/>
  <c r="H116" i="4"/>
  <c r="H117" i="4"/>
  <c r="H124" i="4"/>
  <c r="H125" i="4"/>
  <c r="H129" i="4"/>
  <c r="H130" i="4"/>
  <c r="H131" i="4"/>
  <c r="H132" i="4"/>
  <c r="H133" i="4"/>
  <c r="H134" i="4"/>
  <c r="H135" i="4"/>
  <c r="H136" i="4"/>
  <c r="H137" i="4"/>
  <c r="H144" i="4"/>
  <c r="H151" i="4"/>
  <c r="H152" i="4"/>
  <c r="H153" i="4"/>
  <c r="H154" i="4"/>
  <c r="H155" i="4"/>
  <c r="H163" i="4"/>
  <c r="H172" i="4"/>
  <c r="H173" i="4"/>
  <c r="H174" i="4"/>
  <c r="H175" i="4"/>
  <c r="H176" i="4"/>
  <c r="H177" i="4"/>
  <c r="H179" i="4"/>
  <c r="H180" i="4"/>
  <c r="H181" i="4"/>
  <c r="H182" i="4"/>
  <c r="H183" i="4"/>
  <c r="H184" i="4"/>
  <c r="H185" i="4"/>
  <c r="H186" i="4"/>
  <c r="H187" i="4"/>
  <c r="H189" i="4"/>
  <c r="H190" i="4"/>
  <c r="H191" i="4"/>
  <c r="H192" i="4"/>
  <c r="H193" i="4"/>
  <c r="H195" i="4"/>
  <c r="H204" i="4"/>
  <c r="H205" i="4"/>
  <c r="H208" i="4"/>
  <c r="H209" i="4"/>
  <c r="H210" i="4"/>
  <c r="H211" i="4"/>
  <c r="H219" i="4"/>
  <c r="H258" i="4"/>
  <c r="H259" i="4"/>
  <c r="H260" i="4"/>
  <c r="H273" i="4"/>
  <c r="H275" i="4"/>
  <c r="H276" i="4"/>
  <c r="H277" i="4"/>
  <c r="H279" i="4"/>
  <c r="H281" i="4"/>
  <c r="H282" i="4"/>
  <c r="H283" i="4"/>
  <c r="H284" i="4"/>
  <c r="H285" i="4"/>
  <c r="H288" i="4"/>
  <c r="H289" i="4"/>
  <c r="H290" i="4"/>
  <c r="H291" i="4"/>
  <c r="H292" i="4"/>
  <c r="H298" i="4"/>
  <c r="H299" i="4"/>
  <c r="H300" i="4"/>
  <c r="H301" i="4"/>
  <c r="H302" i="4"/>
  <c r="H305" i="4"/>
  <c r="H325" i="4"/>
  <c r="H326" i="4"/>
  <c r="H337" i="4"/>
  <c r="H338" i="4"/>
  <c r="H344" i="4"/>
  <c r="H345" i="4"/>
  <c r="H346" i="4"/>
  <c r="H347" i="4"/>
  <c r="H349" i="4"/>
  <c r="H350" i="4"/>
  <c r="H351" i="4"/>
  <c r="H352" i="4"/>
  <c r="H353" i="4"/>
  <c r="H354" i="4"/>
  <c r="H355" i="4"/>
  <c r="H356" i="4"/>
  <c r="H358" i="4"/>
  <c r="H359" i="4"/>
  <c r="H361" i="4"/>
  <c r="H362" i="4"/>
  <c r="H364" i="4"/>
  <c r="H365" i="4"/>
  <c r="H366" i="4"/>
  <c r="H367" i="4"/>
  <c r="H368" i="4"/>
  <c r="H369" i="4"/>
  <c r="H370" i="4"/>
  <c r="H371" i="4"/>
  <c r="H372" i="4"/>
  <c r="H373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9" i="4"/>
  <c r="H395" i="4"/>
  <c r="H396" i="4"/>
  <c r="H398" i="4"/>
  <c r="H399" i="4"/>
  <c r="H406" i="4"/>
  <c r="H407" i="4"/>
  <c r="H413" i="4"/>
  <c r="H414" i="4"/>
  <c r="H415" i="4"/>
  <c r="H418" i="4"/>
  <c r="H419" i="4"/>
  <c r="H421" i="4"/>
  <c r="H422" i="4"/>
  <c r="H423" i="4"/>
  <c r="H425" i="4"/>
  <c r="H427" i="4"/>
  <c r="H428" i="4"/>
  <c r="H429" i="4"/>
  <c r="H430" i="4"/>
  <c r="H440" i="4"/>
  <c r="H442" i="4"/>
  <c r="H443" i="4"/>
  <c r="H444" i="4"/>
  <c r="H445" i="4"/>
  <c r="H448" i="4"/>
  <c r="H449" i="4"/>
  <c r="H457" i="4"/>
  <c r="H458" i="4"/>
  <c r="H461" i="4"/>
  <c r="H462" i="4"/>
  <c r="H463" i="4"/>
  <c r="H464" i="4"/>
  <c r="H465" i="4"/>
  <c r="H466" i="4"/>
  <c r="H469" i="4"/>
  <c r="H476" i="4"/>
  <c r="H477" i="4"/>
  <c r="H478" i="4"/>
  <c r="H479" i="4"/>
  <c r="H480" i="4"/>
  <c r="H481" i="4"/>
  <c r="H482" i="4"/>
  <c r="H483" i="4"/>
  <c r="H484" i="4"/>
  <c r="H485" i="4"/>
  <c r="H486" i="4"/>
  <c r="H488" i="4"/>
  <c r="H494" i="4"/>
  <c r="H502" i="4"/>
  <c r="H505" i="4"/>
  <c r="H506" i="4"/>
  <c r="H507" i="4"/>
  <c r="H509" i="4"/>
  <c r="H511" i="4"/>
  <c r="H512" i="4"/>
  <c r="H519" i="4"/>
  <c r="H520" i="4"/>
  <c r="H523" i="4"/>
  <c r="H526" i="4"/>
  <c r="H527" i="4"/>
  <c r="H528" i="4"/>
  <c r="H529" i="4"/>
  <c r="H530" i="4"/>
  <c r="H532" i="4"/>
  <c r="H534" i="4"/>
  <c r="H535" i="4"/>
  <c r="H536" i="4"/>
  <c r="H537" i="4"/>
  <c r="H538" i="4"/>
  <c r="H540" i="4"/>
  <c r="H548" i="4"/>
  <c r="H549" i="4"/>
  <c r="H550" i="4"/>
  <c r="H556" i="4"/>
  <c r="H557" i="4" s="1"/>
  <c r="H668" i="14" s="1"/>
  <c r="H562" i="4"/>
  <c r="H563" i="4"/>
  <c r="H564" i="4"/>
  <c r="H565" i="4"/>
  <c r="H566" i="4"/>
  <c r="H567" i="4"/>
  <c r="H569" i="4"/>
  <c r="H570" i="4"/>
  <c r="H572" i="4"/>
  <c r="H574" i="4"/>
  <c r="H575" i="4"/>
  <c r="H576" i="4"/>
  <c r="H577" i="4"/>
  <c r="H578" i="4"/>
  <c r="H579" i="4"/>
  <c r="H580" i="4"/>
  <c r="H586" i="4"/>
  <c r="H587" i="4"/>
  <c r="H588" i="4"/>
  <c r="H594" i="4"/>
  <c r="H595" i="4"/>
  <c r="H596" i="4"/>
  <c r="H597" i="4"/>
  <c r="H599" i="4"/>
  <c r="H601" i="4"/>
  <c r="H602" i="4"/>
  <c r="H603" i="4"/>
  <c r="H604" i="4"/>
  <c r="H605" i="4"/>
  <c r="H606" i="4"/>
  <c r="H607" i="4"/>
  <c r="H610" i="4"/>
  <c r="H620" i="4"/>
  <c r="H629" i="4"/>
  <c r="H630" i="4"/>
  <c r="H631" i="4"/>
  <c r="H632" i="4"/>
  <c r="H634" i="4"/>
  <c r="H635" i="4"/>
  <c r="H636" i="4"/>
  <c r="H637" i="4"/>
  <c r="H638" i="4"/>
  <c r="H639" i="4"/>
  <c r="H640" i="4"/>
  <c r="H641" i="4"/>
  <c r="H642" i="4"/>
  <c r="C583" i="8"/>
  <c r="C394" i="14" s="1"/>
  <c r="C101" i="8"/>
  <c r="C384" i="14" s="1"/>
  <c r="C123" i="8"/>
  <c r="C386" i="14" s="1"/>
  <c r="C182" i="8"/>
  <c r="C388" i="14" s="1"/>
  <c r="C266" i="8"/>
  <c r="C389" i="14" s="1"/>
  <c r="C453" i="8"/>
  <c r="C390" i="14" s="1"/>
  <c r="C527" i="8"/>
  <c r="C391" i="14" s="1"/>
  <c r="C142" i="8"/>
  <c r="C8" i="14" s="1"/>
  <c r="C269" i="8"/>
  <c r="C9" i="14" s="1"/>
  <c r="C571" i="8"/>
  <c r="C15" i="14" s="1"/>
  <c r="C16" i="14"/>
  <c r="C325" i="8"/>
  <c r="C22" i="14" s="1"/>
  <c r="C30" i="14"/>
  <c r="C51" i="8"/>
  <c r="C32" i="14" s="1"/>
  <c r="C33" i="14"/>
  <c r="C116" i="8"/>
  <c r="C34" i="14" s="1"/>
  <c r="C139" i="8"/>
  <c r="C35" i="14" s="1"/>
  <c r="C172" i="8"/>
  <c r="C36" i="14" s="1"/>
  <c r="C195" i="8"/>
  <c r="C37" i="14" s="1"/>
  <c r="C38" i="14"/>
  <c r="C39" i="14"/>
  <c r="C226" i="8"/>
  <c r="C40" i="14" s="1"/>
  <c r="C250" i="8"/>
  <c r="C271" i="8"/>
  <c r="C42" i="14" s="1"/>
  <c r="C344" i="8"/>
  <c r="C44" i="14" s="1"/>
  <c r="C382" i="8"/>
  <c r="C45" i="14" s="1"/>
  <c r="C519" i="8"/>
  <c r="C46" i="14" s="1"/>
  <c r="C505" i="8"/>
  <c r="C47" i="14" s="1"/>
  <c r="C491" i="8"/>
  <c r="C48" i="14" s="1"/>
  <c r="C572" i="8"/>
  <c r="C49" i="14" s="1"/>
  <c r="C555" i="8"/>
  <c r="C50" i="14" s="1"/>
  <c r="C121" i="8"/>
  <c r="C56" i="14" s="1"/>
  <c r="C346" i="8"/>
  <c r="C57" i="14" s="1"/>
  <c r="C287" i="8"/>
  <c r="C58" i="14" s="1"/>
  <c r="C454" i="8"/>
  <c r="C59" i="14" s="1"/>
  <c r="C60" i="14"/>
  <c r="C522" i="8"/>
  <c r="C61" i="14" s="1"/>
  <c r="C542" i="8"/>
  <c r="C62" i="14" s="1"/>
  <c r="C63" i="14"/>
  <c r="C122" i="8"/>
  <c r="C71" i="14" s="1"/>
  <c r="C181" i="8"/>
  <c r="C72" i="14" s="1"/>
  <c r="C291" i="8"/>
  <c r="C293" i="8"/>
  <c r="C383" i="8"/>
  <c r="C74" i="14" s="1"/>
  <c r="C75" i="14"/>
  <c r="C433" i="8"/>
  <c r="C76" i="14" s="1"/>
  <c r="C495" i="8"/>
  <c r="C77" i="14" s="1"/>
  <c r="C523" i="8"/>
  <c r="C78" i="14" s="1"/>
  <c r="C584" i="8"/>
  <c r="C79" i="14" s="1"/>
  <c r="C33" i="8"/>
  <c r="C85" i="14" s="1"/>
  <c r="C96" i="8"/>
  <c r="C86" i="14" s="1"/>
  <c r="C173" i="8"/>
  <c r="C92" i="14" s="1"/>
  <c r="C93" i="14"/>
  <c r="C52" i="8"/>
  <c r="C99" i="14" s="1"/>
  <c r="C101" i="14"/>
  <c r="C265" i="8"/>
  <c r="C102" i="14" s="1"/>
  <c r="C450" i="8"/>
  <c r="C103" i="14" s="1"/>
  <c r="C104" i="14"/>
  <c r="C520" i="8"/>
  <c r="C105" i="14" s="1"/>
  <c r="C100" i="14"/>
  <c r="C106" i="14"/>
  <c r="C36" i="8"/>
  <c r="C113" i="14" s="1"/>
  <c r="C114" i="14"/>
  <c r="C185" i="8"/>
  <c r="C115" i="14" s="1"/>
  <c r="C292" i="8"/>
  <c r="C116" i="14" s="1"/>
  <c r="C347" i="8"/>
  <c r="C117" i="14" s="1"/>
  <c r="C560" i="8"/>
  <c r="C118" i="14" s="1"/>
  <c r="C524" i="8"/>
  <c r="C121" i="14" s="1"/>
  <c r="C122" i="14"/>
  <c r="C119" i="14"/>
  <c r="C102" i="8"/>
  <c r="C128" i="14" s="1"/>
  <c r="C349" i="8"/>
  <c r="C129" i="14" s="1"/>
  <c r="C115" i="8"/>
  <c r="C135" i="14" s="1"/>
  <c r="C136" i="8"/>
  <c r="C137" i="14" s="1"/>
  <c r="C138" i="14"/>
  <c r="C377" i="8"/>
  <c r="C139" i="14" s="1"/>
  <c r="C521" i="8"/>
  <c r="C140" i="14" s="1"/>
  <c r="C30" i="8"/>
  <c r="C148" i="14" s="1"/>
  <c r="C111" i="8"/>
  <c r="C151" i="14" s="1"/>
  <c r="C261" i="8"/>
  <c r="C153" i="14" s="1"/>
  <c r="C288" i="8"/>
  <c r="C154" i="14" s="1"/>
  <c r="C340" i="8"/>
  <c r="C156" i="14" s="1"/>
  <c r="C359" i="8"/>
  <c r="C157" i="14" s="1"/>
  <c r="C378" i="8"/>
  <c r="C158" i="14" s="1"/>
  <c r="C159" i="14"/>
  <c r="C161" i="14"/>
  <c r="C515" i="8"/>
  <c r="C162" i="14" s="1"/>
  <c r="C537" i="8"/>
  <c r="C163" i="14" s="1"/>
  <c r="C149" i="14"/>
  <c r="C141" i="8"/>
  <c r="C173" i="14" s="1"/>
  <c r="C252" i="8"/>
  <c r="C175" i="14" s="1"/>
  <c r="C264" i="8"/>
  <c r="C176" i="14" s="1"/>
  <c r="C312" i="8"/>
  <c r="C177" i="14" s="1"/>
  <c r="C410" i="8"/>
  <c r="C178" i="14" s="1"/>
  <c r="C506" i="8"/>
  <c r="C179" i="14" s="1"/>
  <c r="C313" i="8"/>
  <c r="C193" i="14" s="1"/>
  <c r="C194" i="14" s="1"/>
  <c r="C186" i="14"/>
  <c r="C188" i="14" s="1"/>
  <c r="C199" i="14"/>
  <c r="C35" i="8"/>
  <c r="C200" i="14" s="1"/>
  <c r="C50" i="8"/>
  <c r="C201" i="14" s="1"/>
  <c r="C84" i="8"/>
  <c r="C202" i="14" s="1"/>
  <c r="C117" i="8"/>
  <c r="C204" i="14" s="1"/>
  <c r="C135" i="8"/>
  <c r="C205" i="14" s="1"/>
  <c r="C207" i="14"/>
  <c r="C208" i="14"/>
  <c r="C227" i="8"/>
  <c r="C209" i="14" s="1"/>
  <c r="C270" i="8"/>
  <c r="C211" i="14" s="1"/>
  <c r="C328" i="8"/>
  <c r="C213" i="14" s="1"/>
  <c r="C343" i="8"/>
  <c r="C214" i="14" s="1"/>
  <c r="C215" i="14"/>
  <c r="C379" i="8"/>
  <c r="C216" i="14" s="1"/>
  <c r="C217" i="14"/>
  <c r="C218" i="14"/>
  <c r="C219" i="14"/>
  <c r="C449" i="8"/>
  <c r="C220" i="14" s="1"/>
  <c r="C221" i="14"/>
  <c r="C490" i="8"/>
  <c r="C222" i="14" s="1"/>
  <c r="C518" i="8"/>
  <c r="C223" i="14" s="1"/>
  <c r="C541" i="8"/>
  <c r="C224" i="14" s="1"/>
  <c r="C558" i="8"/>
  <c r="C225" i="14" s="1"/>
  <c r="C578" i="8"/>
  <c r="C226" i="14" s="1"/>
  <c r="C212" i="14"/>
  <c r="C48" i="8"/>
  <c r="C233" i="14" s="1"/>
  <c r="C112" i="8"/>
  <c r="C235" i="14" s="1"/>
  <c r="C137" i="8"/>
  <c r="C236" i="14" s="1"/>
  <c r="C237" i="14"/>
  <c r="C166" i="8"/>
  <c r="C238" i="14" s="1"/>
  <c r="C239" i="14"/>
  <c r="C327" i="8"/>
  <c r="C240" i="14" s="1"/>
  <c r="C338" i="8"/>
  <c r="C241" i="14" s="1"/>
  <c r="C357" i="8"/>
  <c r="C242" i="14" s="1"/>
  <c r="C244" i="14"/>
  <c r="C446" i="8"/>
  <c r="C245" i="14" s="1"/>
  <c r="C538" i="8"/>
  <c r="C247" i="14" s="1"/>
  <c r="C575" i="8"/>
  <c r="C248" i="14" s="1"/>
  <c r="C254" i="14"/>
  <c r="C263" i="8"/>
  <c r="C255" i="14" s="1"/>
  <c r="C326" i="8"/>
  <c r="C256" i="14" s="1"/>
  <c r="C257" i="14"/>
  <c r="C539" i="8"/>
  <c r="C259" i="14" s="1"/>
  <c r="C265" i="14"/>
  <c r="C28" i="8"/>
  <c r="C266" i="14" s="1"/>
  <c r="C47" i="8"/>
  <c r="C267" i="14" s="1"/>
  <c r="C118" i="8"/>
  <c r="C268" i="14" s="1"/>
  <c r="C269" i="14"/>
  <c r="C179" i="8"/>
  <c r="C270" i="14" s="1"/>
  <c r="C193" i="8"/>
  <c r="C271" i="14" s="1"/>
  <c r="C272" i="14"/>
  <c r="C283" i="8"/>
  <c r="C274" i="14" s="1"/>
  <c r="C262" i="8"/>
  <c r="C275" i="14" s="1"/>
  <c r="C339" i="8"/>
  <c r="C276" i="14" s="1"/>
  <c r="C362" i="8"/>
  <c r="C277" i="14" s="1"/>
  <c r="C408" i="8"/>
  <c r="C278" i="14" s="1"/>
  <c r="C279" i="14"/>
  <c r="C445" i="8"/>
  <c r="C280" i="14" s="1"/>
  <c r="C281" i="14"/>
  <c r="C514" i="8"/>
  <c r="C282" i="14" s="1"/>
  <c r="C536" i="8"/>
  <c r="C283" i="14" s="1"/>
  <c r="C273" i="14"/>
  <c r="C284" i="14"/>
  <c r="C49" i="8"/>
  <c r="C292" i="14" s="1"/>
  <c r="C82" i="8"/>
  <c r="C293" i="14" s="1"/>
  <c r="C94" i="8"/>
  <c r="C295" i="14" s="1"/>
  <c r="C110" i="8"/>
  <c r="C296" i="14" s="1"/>
  <c r="C138" i="8"/>
  <c r="C297" i="14" s="1"/>
  <c r="C299" i="14"/>
  <c r="C194" i="8"/>
  <c r="C300" i="14" s="1"/>
  <c r="C301" i="14"/>
  <c r="C225" i="8"/>
  <c r="C302" i="14" s="1"/>
  <c r="C303" i="14"/>
  <c r="C268" i="8"/>
  <c r="C305" i="14" s="1"/>
  <c r="C324" i="8"/>
  <c r="C307" i="14" s="1"/>
  <c r="C342" i="8"/>
  <c r="C308" i="14" s="1"/>
  <c r="C361" i="8"/>
  <c r="C309" i="14" s="1"/>
  <c r="C376" i="8"/>
  <c r="C310" i="14" s="1"/>
  <c r="C312" i="14"/>
  <c r="C447" i="8"/>
  <c r="C314" i="14" s="1"/>
  <c r="C315" i="14"/>
  <c r="C489" i="8"/>
  <c r="C316" i="14" s="1"/>
  <c r="C517" i="8"/>
  <c r="C317" i="14" s="1"/>
  <c r="C540" i="8"/>
  <c r="C318" i="14" s="1"/>
  <c r="C553" i="8"/>
  <c r="C319" i="14" s="1"/>
  <c r="C576" i="8"/>
  <c r="C320" i="14" s="1"/>
  <c r="C290" i="14"/>
  <c r="C294" i="14"/>
  <c r="C298" i="14"/>
  <c r="C311" i="14"/>
  <c r="C18" i="8"/>
  <c r="C326" i="14" s="1"/>
  <c r="C119" i="8"/>
  <c r="C327" i="14" s="1"/>
  <c r="C300" i="8"/>
  <c r="C328" i="14" s="1"/>
  <c r="C97" i="8"/>
  <c r="C336" i="14" s="1"/>
  <c r="C375" i="8"/>
  <c r="C337" i="14" s="1"/>
  <c r="C85" i="8"/>
  <c r="C344" i="14" s="1"/>
  <c r="C175" i="8"/>
  <c r="C347" i="14" s="1"/>
  <c r="C348" i="14"/>
  <c r="C363" i="8"/>
  <c r="C349" i="14" s="1"/>
  <c r="C272" i="8"/>
  <c r="C353" i="14" s="1"/>
  <c r="C330" i="8"/>
  <c r="C354" i="14" s="1"/>
  <c r="C544" i="8"/>
  <c r="C355" i="14" s="1"/>
  <c r="C381" i="8"/>
  <c r="C356" i="14" s="1"/>
  <c r="C451" i="8"/>
  <c r="C358" i="14" s="1"/>
  <c r="C352" i="14"/>
  <c r="C86" i="8"/>
  <c r="C178" i="8"/>
  <c r="C177" i="8"/>
  <c r="C364" i="8"/>
  <c r="C370" i="14" s="1"/>
  <c r="C273" i="8"/>
  <c r="C371" i="14" s="1"/>
  <c r="C456" i="8"/>
  <c r="C372" i="14" s="1"/>
  <c r="C329" i="8"/>
  <c r="C375" i="14" s="1"/>
  <c r="C574" i="8"/>
  <c r="C376" i="14" s="1"/>
  <c r="C12" i="8"/>
  <c r="C400" i="14" s="1"/>
  <c r="C31" i="8"/>
  <c r="C401" i="14" s="1"/>
  <c r="C170" i="8"/>
  <c r="C402" i="14" s="1"/>
  <c r="C345" i="8"/>
  <c r="C404" i="14" s="1"/>
  <c r="C113" i="8"/>
  <c r="C405" i="14" s="1"/>
  <c r="C448" i="8"/>
  <c r="C406" i="14" s="1"/>
  <c r="C407" i="14"/>
  <c r="C408" i="14"/>
  <c r="C494" i="8"/>
  <c r="C409" i="14" s="1"/>
  <c r="C554" i="8"/>
  <c r="C410" i="14" s="1"/>
  <c r="C411" i="14"/>
  <c r="C403" i="14"/>
  <c r="C582" i="8"/>
  <c r="C417" i="14" s="1"/>
  <c r="C11" i="8"/>
  <c r="C425" i="14" s="1"/>
  <c r="C341" i="8"/>
  <c r="C428" i="14" s="1"/>
  <c r="C296" i="8"/>
  <c r="C429" i="14" s="1"/>
  <c r="C516" i="8"/>
  <c r="C431" i="14" s="1"/>
  <c r="C493" i="8"/>
  <c r="C432" i="14" s="1"/>
  <c r="C439" i="14"/>
  <c r="C125" i="8"/>
  <c r="C441" i="14" s="1"/>
  <c r="C183" i="8"/>
  <c r="C443" i="14" s="1"/>
  <c r="C444" i="14"/>
  <c r="C295" i="8"/>
  <c r="C446" i="14" s="1"/>
  <c r="C455" i="8"/>
  <c r="C447" i="14" s="1"/>
  <c r="C448" i="14"/>
  <c r="C450" i="14"/>
  <c r="C492" i="8"/>
  <c r="C451" i="14" s="1"/>
  <c r="C543" i="8"/>
  <c r="C452" i="14" s="1"/>
  <c r="C525" i="8"/>
  <c r="C453" i="14" s="1"/>
  <c r="C559" i="8"/>
  <c r="C454" i="14" s="1"/>
  <c r="C358" i="8"/>
  <c r="C461" i="14" s="1"/>
  <c r="C314" i="8"/>
  <c r="C462" i="14" s="1"/>
  <c r="C427" i="8"/>
  <c r="C463" i="14" s="1"/>
  <c r="C251" i="8"/>
  <c r="C469" i="14" s="1"/>
  <c r="C470" i="14" s="1"/>
  <c r="C83" i="8"/>
  <c r="C476" i="14" s="1"/>
  <c r="C127" i="8"/>
  <c r="C478" i="14" s="1"/>
  <c r="C95" i="8"/>
  <c r="C479" i="14" s="1"/>
  <c r="C140" i="8"/>
  <c r="C480" i="14" s="1"/>
  <c r="C171" i="8"/>
  <c r="C482" i="14" s="1"/>
  <c r="C196" i="8"/>
  <c r="C483" i="14" s="1"/>
  <c r="C224" i="8"/>
  <c r="C485" i="14" s="1"/>
  <c r="C323" i="8"/>
  <c r="C487" i="14" s="1"/>
  <c r="C360" i="8"/>
  <c r="C488" i="14" s="1"/>
  <c r="C374" i="8"/>
  <c r="C489" i="14" s="1"/>
  <c r="C407" i="8"/>
  <c r="C491" i="14" s="1"/>
  <c r="C497" i="14"/>
  <c r="C579" i="8"/>
  <c r="C498" i="14" s="1"/>
  <c r="C37" i="8"/>
  <c r="C504" i="14" s="1"/>
  <c r="C99" i="8"/>
  <c r="C506" i="14" s="1"/>
  <c r="C126" i="8"/>
  <c r="C507" i="14" s="1"/>
  <c r="C508" i="14"/>
  <c r="C180" i="8"/>
  <c r="C509" i="14" s="1"/>
  <c r="C510" i="14"/>
  <c r="C290" i="8"/>
  <c r="C511" i="14" s="1"/>
  <c r="C267" i="8"/>
  <c r="C512" i="14" s="1"/>
  <c r="C380" i="8"/>
  <c r="C513" i="14" s="1"/>
  <c r="C514" i="14"/>
  <c r="C561" i="8"/>
  <c r="C515" i="14" s="1"/>
  <c r="C516" i="14"/>
  <c r="C588" i="8"/>
  <c r="C517" i="14" s="1"/>
  <c r="C525" i="14"/>
  <c r="C526" i="14"/>
  <c r="C557" i="8"/>
  <c r="C528" i="14" s="1"/>
  <c r="C534" i="14"/>
  <c r="C53" i="8"/>
  <c r="C536" i="14" s="1"/>
  <c r="C120" i="8"/>
  <c r="C537" i="14" s="1"/>
  <c r="C539" i="14"/>
  <c r="C297" i="8"/>
  <c r="C540" i="14" s="1"/>
  <c r="C348" i="8"/>
  <c r="C541" i="14" s="1"/>
  <c r="C384" i="8"/>
  <c r="C542" i="14" s="1"/>
  <c r="C452" i="8"/>
  <c r="C543" i="14" s="1"/>
  <c r="C544" i="14"/>
  <c r="C526" i="8"/>
  <c r="C545" i="14" s="1"/>
  <c r="C538" i="14"/>
  <c r="C461" i="4"/>
  <c r="C457" i="4"/>
  <c r="C458" i="4"/>
  <c r="C462" i="4"/>
  <c r="C463" i="4"/>
  <c r="C464" i="4"/>
  <c r="C465" i="4"/>
  <c r="C466" i="4"/>
  <c r="C469" i="4"/>
  <c r="C7" i="4"/>
  <c r="C8" i="4"/>
  <c r="C9" i="4"/>
  <c r="C10" i="4"/>
  <c r="C16" i="4"/>
  <c r="C17" i="4"/>
  <c r="C23" i="4"/>
  <c r="C26" i="4" s="1"/>
  <c r="C31" i="4"/>
  <c r="C32" i="4"/>
  <c r="C33" i="4"/>
  <c r="C34" i="4"/>
  <c r="C35" i="4"/>
  <c r="C36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4" i="4"/>
  <c r="C55" i="4"/>
  <c r="C61" i="4"/>
  <c r="C62" i="4"/>
  <c r="C63" i="4"/>
  <c r="C64" i="4"/>
  <c r="C65" i="4"/>
  <c r="C66" i="4"/>
  <c r="C67" i="4"/>
  <c r="C68" i="4"/>
  <c r="C69" i="4"/>
  <c r="C75" i="4"/>
  <c r="C77" i="4"/>
  <c r="C78" i="4"/>
  <c r="C79" i="4"/>
  <c r="C81" i="4"/>
  <c r="C82" i="4"/>
  <c r="C83" i="4"/>
  <c r="C85" i="4"/>
  <c r="C86" i="4"/>
  <c r="C87" i="4"/>
  <c r="C88" i="4"/>
  <c r="C89" i="4"/>
  <c r="C95" i="4"/>
  <c r="C96" i="4"/>
  <c r="C102" i="4"/>
  <c r="C103" i="4"/>
  <c r="C109" i="4"/>
  <c r="C111" i="4"/>
  <c r="C112" i="4"/>
  <c r="C113" i="4"/>
  <c r="C114" i="4"/>
  <c r="C115" i="4"/>
  <c r="C116" i="4"/>
  <c r="C117" i="4"/>
  <c r="C124" i="4"/>
  <c r="C125" i="4"/>
  <c r="C129" i="4"/>
  <c r="C130" i="4"/>
  <c r="C131" i="4"/>
  <c r="C132" i="4"/>
  <c r="C133" i="4"/>
  <c r="C134" i="4"/>
  <c r="C135" i="4"/>
  <c r="C136" i="4"/>
  <c r="C137" i="4"/>
  <c r="C144" i="4"/>
  <c r="C145" i="4"/>
  <c r="C151" i="4"/>
  <c r="C152" i="4"/>
  <c r="C153" i="4"/>
  <c r="C154" i="4"/>
  <c r="C155" i="4"/>
  <c r="C163" i="4"/>
  <c r="C172" i="4"/>
  <c r="C173" i="4"/>
  <c r="C174" i="4"/>
  <c r="C175" i="4"/>
  <c r="C176" i="4"/>
  <c r="C177" i="4"/>
  <c r="C179" i="4"/>
  <c r="C180" i="4"/>
  <c r="C181" i="4"/>
  <c r="C182" i="4"/>
  <c r="C183" i="4"/>
  <c r="C184" i="4"/>
  <c r="C185" i="4"/>
  <c r="C186" i="4"/>
  <c r="C187" i="4"/>
  <c r="C189" i="4"/>
  <c r="C190" i="4"/>
  <c r="C191" i="4"/>
  <c r="C192" i="4"/>
  <c r="C193" i="4"/>
  <c r="C195" i="4"/>
  <c r="C204" i="4"/>
  <c r="C205" i="4"/>
  <c r="C207" i="4"/>
  <c r="C208" i="4"/>
  <c r="C209" i="4"/>
  <c r="C210" i="4"/>
  <c r="C211" i="4"/>
  <c r="C219" i="4"/>
  <c r="C226" i="4"/>
  <c r="C227" i="4"/>
  <c r="C228" i="4"/>
  <c r="C229" i="4"/>
  <c r="C230" i="4"/>
  <c r="C231" i="4"/>
  <c r="C232" i="4"/>
  <c r="C233" i="4"/>
  <c r="C234" i="4"/>
  <c r="C235" i="4"/>
  <c r="C237" i="4"/>
  <c r="C239" i="4"/>
  <c r="C240" i="4"/>
  <c r="C242" i="4"/>
  <c r="C243" i="4"/>
  <c r="C244" i="4"/>
  <c r="C245" i="4"/>
  <c r="C246" i="4"/>
  <c r="C247" i="4"/>
  <c r="C248" i="4"/>
  <c r="C249" i="4"/>
  <c r="C250" i="4"/>
  <c r="C252" i="4"/>
  <c r="C253" i="4"/>
  <c r="C254" i="4"/>
  <c r="C255" i="4"/>
  <c r="C257" i="4"/>
  <c r="C258" i="4"/>
  <c r="C259" i="4"/>
  <c r="C260" i="4"/>
  <c r="C261" i="4"/>
  <c r="C262" i="4"/>
  <c r="C263" i="4"/>
  <c r="C264" i="4"/>
  <c r="C265" i="4"/>
  <c r="C266" i="4"/>
  <c r="C273" i="4"/>
  <c r="C275" i="4"/>
  <c r="C276" i="4"/>
  <c r="C277" i="4"/>
  <c r="C279" i="4"/>
  <c r="C281" i="4"/>
  <c r="C282" i="4"/>
  <c r="C283" i="4"/>
  <c r="C284" i="4"/>
  <c r="C285" i="4"/>
  <c r="C288" i="4"/>
  <c r="C289" i="4"/>
  <c r="C290" i="4"/>
  <c r="C291" i="4"/>
  <c r="C292" i="4"/>
  <c r="C298" i="4"/>
  <c r="C299" i="4"/>
  <c r="C300" i="4"/>
  <c r="C301" i="4"/>
  <c r="C302" i="4"/>
  <c r="C305" i="4"/>
  <c r="C312" i="4"/>
  <c r="C313" i="4"/>
  <c r="C314" i="4"/>
  <c r="C315" i="4"/>
  <c r="C316" i="4"/>
  <c r="C317" i="4"/>
  <c r="C319" i="4"/>
  <c r="C320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44" i="4"/>
  <c r="C345" i="4"/>
  <c r="C346" i="4"/>
  <c r="C347" i="4"/>
  <c r="C349" i="4"/>
  <c r="C350" i="4"/>
  <c r="C351" i="4"/>
  <c r="C352" i="4"/>
  <c r="C353" i="4"/>
  <c r="C354" i="4"/>
  <c r="C355" i="4"/>
  <c r="C356" i="4"/>
  <c r="C358" i="4"/>
  <c r="C359" i="4"/>
  <c r="C361" i="4"/>
  <c r="C362" i="4"/>
  <c r="C364" i="4"/>
  <c r="C365" i="4"/>
  <c r="C366" i="4"/>
  <c r="C367" i="4"/>
  <c r="C368" i="4"/>
  <c r="C369" i="4"/>
  <c r="C370" i="4"/>
  <c r="C371" i="4"/>
  <c r="C372" i="4"/>
  <c r="C373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5" i="4"/>
  <c r="C396" i="4"/>
  <c r="C398" i="4"/>
  <c r="C399" i="4"/>
  <c r="C406" i="4"/>
  <c r="C407" i="4"/>
  <c r="C413" i="4"/>
  <c r="C414" i="4"/>
  <c r="C415" i="4"/>
  <c r="C418" i="4"/>
  <c r="C419" i="4"/>
  <c r="C421" i="4"/>
  <c r="C422" i="4"/>
  <c r="C423" i="4"/>
  <c r="C425" i="4"/>
  <c r="C427" i="4"/>
  <c r="C428" i="4"/>
  <c r="C429" i="4"/>
  <c r="C430" i="4"/>
  <c r="C440" i="4"/>
  <c r="C442" i="4"/>
  <c r="C443" i="4"/>
  <c r="C444" i="4"/>
  <c r="C445" i="4"/>
  <c r="C448" i="4"/>
  <c r="C449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94" i="4"/>
  <c r="C497" i="4" s="1"/>
  <c r="C664" i="14" s="1"/>
  <c r="C502" i="4"/>
  <c r="C505" i="4"/>
  <c r="C506" i="4"/>
  <c r="C507" i="4"/>
  <c r="C509" i="4"/>
  <c r="C511" i="4"/>
  <c r="C512" i="4"/>
  <c r="C519" i="4"/>
  <c r="C520" i="4"/>
  <c r="C523" i="4"/>
  <c r="C526" i="4"/>
  <c r="C527" i="4"/>
  <c r="C528" i="4"/>
  <c r="C529" i="4"/>
  <c r="C530" i="4"/>
  <c r="C531" i="4"/>
  <c r="C532" i="4"/>
  <c r="C534" i="4"/>
  <c r="C535" i="4"/>
  <c r="C536" i="4"/>
  <c r="C537" i="4"/>
  <c r="C538" i="4"/>
  <c r="C540" i="4"/>
  <c r="C541" i="4"/>
  <c r="C548" i="4"/>
  <c r="C549" i="4"/>
  <c r="C550" i="4"/>
  <c r="C556" i="4"/>
  <c r="C557" i="4" s="1"/>
  <c r="C668" i="14" s="1"/>
  <c r="C562" i="4"/>
  <c r="C563" i="4"/>
  <c r="C564" i="4"/>
  <c r="C565" i="4"/>
  <c r="C566" i="4"/>
  <c r="C567" i="4"/>
  <c r="C569" i="4"/>
  <c r="C570" i="4"/>
  <c r="C572" i="4"/>
  <c r="C574" i="4"/>
  <c r="C575" i="4"/>
  <c r="C576" i="4"/>
  <c r="C577" i="4"/>
  <c r="C578" i="4"/>
  <c r="C579" i="4"/>
  <c r="C580" i="4"/>
  <c r="C586" i="4"/>
  <c r="C587" i="4"/>
  <c r="C588" i="4"/>
  <c r="C594" i="4"/>
  <c r="C595" i="4"/>
  <c r="C596" i="4"/>
  <c r="C597" i="4"/>
  <c r="C599" i="4"/>
  <c r="C601" i="4"/>
  <c r="C602" i="4"/>
  <c r="C603" i="4"/>
  <c r="C604" i="4"/>
  <c r="C605" i="4"/>
  <c r="C606" i="4"/>
  <c r="C607" i="4"/>
  <c r="C609" i="4"/>
  <c r="C610" i="4"/>
  <c r="C620" i="4"/>
  <c r="C621" i="4"/>
  <c r="C629" i="4"/>
  <c r="C630" i="4"/>
  <c r="C631" i="4"/>
  <c r="C632" i="4"/>
  <c r="C634" i="4"/>
  <c r="C635" i="4"/>
  <c r="C636" i="4"/>
  <c r="C637" i="4"/>
  <c r="C638" i="4"/>
  <c r="C639" i="4"/>
  <c r="C640" i="4"/>
  <c r="C641" i="4"/>
  <c r="C642" i="4"/>
  <c r="G562" i="4"/>
  <c r="G563" i="4"/>
  <c r="G564" i="4"/>
  <c r="G565" i="4"/>
  <c r="G566" i="4"/>
  <c r="G567" i="4"/>
  <c r="G569" i="4"/>
  <c r="G570" i="4"/>
  <c r="G572" i="4"/>
  <c r="G574" i="4"/>
  <c r="G575" i="4"/>
  <c r="G576" i="4"/>
  <c r="G577" i="4"/>
  <c r="G578" i="4"/>
  <c r="G579" i="4"/>
  <c r="G580" i="4"/>
  <c r="G83" i="8"/>
  <c r="G476" i="14" s="1"/>
  <c r="G65" i="8"/>
  <c r="G477" i="14" s="1"/>
  <c r="G127" i="8"/>
  <c r="G478" i="14" s="1"/>
  <c r="G95" i="8"/>
  <c r="G479" i="14" s="1"/>
  <c r="G140" i="8"/>
  <c r="G480" i="14" s="1"/>
  <c r="G171" i="8"/>
  <c r="G196" i="8"/>
  <c r="G483" i="14" s="1"/>
  <c r="G224" i="8"/>
  <c r="G485" i="14" s="1"/>
  <c r="G323" i="8"/>
  <c r="G360" i="8"/>
  <c r="G374" i="8"/>
  <c r="G489" i="14" s="1"/>
  <c r="G407" i="8"/>
  <c r="G491" i="14" s="1"/>
  <c r="M433" i="8"/>
  <c r="M435" i="8" s="1"/>
  <c r="D352" i="14" s="1"/>
  <c r="N433" i="8"/>
  <c r="N435" i="8" s="1"/>
  <c r="E352" i="14" s="1"/>
  <c r="O433" i="8"/>
  <c r="O435" i="8" s="1"/>
  <c r="F352" i="14" s="1"/>
  <c r="P433" i="8"/>
  <c r="P435" i="8" s="1"/>
  <c r="G352" i="14" s="1"/>
  <c r="Q433" i="8"/>
  <c r="Q435" i="8" s="1"/>
  <c r="H352" i="14" s="1"/>
  <c r="M428" i="8"/>
  <c r="M429" i="8" s="1"/>
  <c r="N428" i="8"/>
  <c r="N429" i="8" s="1"/>
  <c r="O428" i="8"/>
  <c r="O429" i="8" s="1"/>
  <c r="P428" i="8"/>
  <c r="P429" i="8" s="1"/>
  <c r="Q428" i="8"/>
  <c r="Q429" i="8" s="1"/>
  <c r="L428" i="8"/>
  <c r="L429" i="8" s="1"/>
  <c r="C160" i="14" s="1"/>
  <c r="O19" i="8"/>
  <c r="O22" i="8" s="1"/>
  <c r="F343" i="14" s="1"/>
  <c r="O16" i="8"/>
  <c r="O18" i="8" s="1"/>
  <c r="F112" i="14" s="1"/>
  <c r="O9" i="8"/>
  <c r="O15" i="8" s="1"/>
  <c r="C147" i="14"/>
  <c r="D413" i="4"/>
  <c r="D414" i="4"/>
  <c r="D415" i="4"/>
  <c r="D418" i="4"/>
  <c r="D419" i="4"/>
  <c r="D422" i="4"/>
  <c r="D423" i="4"/>
  <c r="D425" i="4"/>
  <c r="D427" i="4"/>
  <c r="D428" i="4"/>
  <c r="D429" i="4"/>
  <c r="D430" i="4"/>
  <c r="L18" i="8"/>
  <c r="C112" i="14" s="1"/>
  <c r="N16" i="8"/>
  <c r="N18" i="8" s="1"/>
  <c r="E112" i="14" s="1"/>
  <c r="M16" i="8"/>
  <c r="M18" i="8" s="1"/>
  <c r="D112" i="14" s="1"/>
  <c r="F124" i="4"/>
  <c r="K124" i="4" s="1"/>
  <c r="F125" i="4"/>
  <c r="K125" i="4" s="1"/>
  <c r="F129" i="4"/>
  <c r="K129" i="4" s="1"/>
  <c r="F130" i="4"/>
  <c r="K130" i="4" s="1"/>
  <c r="F131" i="4"/>
  <c r="F132" i="4"/>
  <c r="F133" i="4"/>
  <c r="F134" i="4"/>
  <c r="F135" i="4"/>
  <c r="F136" i="4"/>
  <c r="K136" i="4" s="1"/>
  <c r="F137" i="4"/>
  <c r="F119" i="14"/>
  <c r="F36" i="8"/>
  <c r="F113" i="14" s="1"/>
  <c r="F114" i="14"/>
  <c r="F185" i="8"/>
  <c r="F115" i="14" s="1"/>
  <c r="F292" i="8"/>
  <c r="F116" i="14" s="1"/>
  <c r="F347" i="8"/>
  <c r="F117" i="14" s="1"/>
  <c r="F560" i="8"/>
  <c r="F118" i="14" s="1"/>
  <c r="F524" i="8"/>
  <c r="F121" i="14" s="1"/>
  <c r="F122" i="14"/>
  <c r="E119" i="14"/>
  <c r="E36" i="8"/>
  <c r="E113" i="14" s="1"/>
  <c r="E114" i="14"/>
  <c r="E185" i="8"/>
  <c r="E115" i="14" s="1"/>
  <c r="E292" i="8"/>
  <c r="E116" i="14" s="1"/>
  <c r="E347" i="8"/>
  <c r="E117" i="14" s="1"/>
  <c r="E560" i="8"/>
  <c r="E118" i="14" s="1"/>
  <c r="E524" i="8"/>
  <c r="E121" i="14" s="1"/>
  <c r="E122" i="14"/>
  <c r="E124" i="4"/>
  <c r="E125" i="4"/>
  <c r="E129" i="4"/>
  <c r="E130" i="4"/>
  <c r="E131" i="4"/>
  <c r="E132" i="4"/>
  <c r="E133" i="4"/>
  <c r="E134" i="4"/>
  <c r="E135" i="4"/>
  <c r="E136" i="4"/>
  <c r="E137" i="4"/>
  <c r="D119" i="14"/>
  <c r="D36" i="8"/>
  <c r="D113" i="14" s="1"/>
  <c r="D114" i="14"/>
  <c r="D185" i="8"/>
  <c r="D115" i="14" s="1"/>
  <c r="D292" i="8"/>
  <c r="D116" i="14" s="1"/>
  <c r="D347" i="8"/>
  <c r="D117" i="14" s="1"/>
  <c r="D560" i="8"/>
  <c r="D118" i="14" s="1"/>
  <c r="D524" i="8"/>
  <c r="D121" i="14" s="1"/>
  <c r="D122" i="14"/>
  <c r="D124" i="4"/>
  <c r="D125" i="4"/>
  <c r="D129" i="4"/>
  <c r="D130" i="4"/>
  <c r="D131" i="4"/>
  <c r="D132" i="4"/>
  <c r="D133" i="4"/>
  <c r="D134" i="4"/>
  <c r="D135" i="4"/>
  <c r="D136" i="4"/>
  <c r="D137" i="4"/>
  <c r="H438" i="8"/>
  <c r="H439" i="8"/>
  <c r="G425" i="8"/>
  <c r="G246" i="14" s="1"/>
  <c r="G427" i="8"/>
  <c r="G463" i="14" s="1"/>
  <c r="G219" i="14"/>
  <c r="G408" i="14"/>
  <c r="G433" i="8"/>
  <c r="G76" i="14" s="1"/>
  <c r="G438" i="8"/>
  <c r="G582" i="14" s="1"/>
  <c r="G439" i="8"/>
  <c r="G620" i="14" s="1"/>
  <c r="F408" i="14"/>
  <c r="F425" i="8"/>
  <c r="F246" i="14" s="1"/>
  <c r="F427" i="8"/>
  <c r="F463" i="14" s="1"/>
  <c r="F433" i="8"/>
  <c r="F438" i="8"/>
  <c r="F439" i="8"/>
  <c r="E425" i="8"/>
  <c r="E246" i="14" s="1"/>
  <c r="E427" i="8"/>
  <c r="E463" i="14" s="1"/>
  <c r="E219" i="14"/>
  <c r="E433" i="8"/>
  <c r="E76" i="14" s="1"/>
  <c r="E438" i="8"/>
  <c r="E439" i="8"/>
  <c r="D425" i="8"/>
  <c r="D246" i="14" s="1"/>
  <c r="D427" i="8"/>
  <c r="D463" i="14" s="1"/>
  <c r="D219" i="14"/>
  <c r="D408" i="14"/>
  <c r="D433" i="8"/>
  <c r="D76" i="14" s="1"/>
  <c r="D438" i="8"/>
  <c r="D439" i="8"/>
  <c r="C438" i="8"/>
  <c r="C439" i="8"/>
  <c r="Q426" i="8"/>
  <c r="H449" i="14" s="1"/>
  <c r="P426" i="8"/>
  <c r="G449" i="14" s="1"/>
  <c r="O426" i="8"/>
  <c r="F449" i="14" s="1"/>
  <c r="N426" i="8"/>
  <c r="M426" i="8"/>
  <c r="D449" i="14" s="1"/>
  <c r="G124" i="4"/>
  <c r="G125" i="4"/>
  <c r="G129" i="4"/>
  <c r="G130" i="4"/>
  <c r="G131" i="4"/>
  <c r="G132" i="4"/>
  <c r="G133" i="4"/>
  <c r="G134" i="4"/>
  <c r="G135" i="4"/>
  <c r="G136" i="4"/>
  <c r="G137" i="4"/>
  <c r="G36" i="8"/>
  <c r="G113" i="14" s="1"/>
  <c r="G114" i="14"/>
  <c r="G185" i="8"/>
  <c r="G115" i="14" s="1"/>
  <c r="G292" i="8"/>
  <c r="G116" i="14" s="1"/>
  <c r="G347" i="8"/>
  <c r="G117" i="14" s="1"/>
  <c r="G560" i="8"/>
  <c r="G118" i="14" s="1"/>
  <c r="G119" i="14"/>
  <c r="G524" i="8"/>
  <c r="G121" i="14" s="1"/>
  <c r="G122" i="14"/>
  <c r="E102" i="8"/>
  <c r="E128" i="14" s="1"/>
  <c r="E129" i="14"/>
  <c r="E115" i="8"/>
  <c r="E135" i="14" s="1"/>
  <c r="E67" i="8"/>
  <c r="E136" i="14" s="1"/>
  <c r="E136" i="8"/>
  <c r="E137" i="14" s="1"/>
  <c r="E138" i="14"/>
  <c r="E377" i="8"/>
  <c r="E139" i="14" s="1"/>
  <c r="E521" i="8"/>
  <c r="E140" i="14" s="1"/>
  <c r="E30" i="8"/>
  <c r="E148" i="14" s="1"/>
  <c r="E111" i="8"/>
  <c r="E151" i="14" s="1"/>
  <c r="H73" i="18"/>
  <c r="F73" i="18"/>
  <c r="E73" i="18"/>
  <c r="H65" i="18"/>
  <c r="G65" i="18"/>
  <c r="F65" i="18"/>
  <c r="E65" i="18"/>
  <c r="D65" i="18"/>
  <c r="C65" i="18"/>
  <c r="H60" i="18"/>
  <c r="G60" i="18"/>
  <c r="F60" i="18"/>
  <c r="E60" i="18"/>
  <c r="D60" i="18"/>
  <c r="C60" i="18"/>
  <c r="H54" i="18"/>
  <c r="G54" i="18"/>
  <c r="F54" i="18"/>
  <c r="E54" i="18"/>
  <c r="D54" i="18"/>
  <c r="C54" i="18"/>
  <c r="H46" i="18"/>
  <c r="G46" i="18"/>
  <c r="F46" i="18"/>
  <c r="E46" i="18"/>
  <c r="D46" i="18"/>
  <c r="C46" i="18"/>
  <c r="H38" i="18"/>
  <c r="G38" i="18"/>
  <c r="F38" i="18"/>
  <c r="E38" i="18"/>
  <c r="D38" i="18"/>
  <c r="C38" i="18"/>
  <c r="H28" i="18"/>
  <c r="G28" i="18"/>
  <c r="F28" i="18"/>
  <c r="E28" i="18"/>
  <c r="C28" i="18"/>
  <c r="H21" i="18"/>
  <c r="G21" i="18"/>
  <c r="F21" i="18"/>
  <c r="E21" i="18"/>
  <c r="D21" i="18"/>
  <c r="C21" i="18"/>
  <c r="H14" i="18"/>
  <c r="G14" i="18"/>
  <c r="F14" i="18"/>
  <c r="E14" i="18"/>
  <c r="D14" i="18"/>
  <c r="C14" i="18"/>
  <c r="F53" i="16"/>
  <c r="E53" i="16"/>
  <c r="D52" i="10"/>
  <c r="D39" i="16" s="1"/>
  <c r="C118" i="5"/>
  <c r="C52" i="10" s="1"/>
  <c r="C39" i="16" s="1"/>
  <c r="C50" i="16"/>
  <c r="C49" i="16"/>
  <c r="C48" i="16"/>
  <c r="C45" i="16"/>
  <c r="C36" i="16"/>
  <c r="C16" i="16"/>
  <c r="C14" i="16"/>
  <c r="C13" i="16"/>
  <c r="C12" i="16"/>
  <c r="C11" i="16"/>
  <c r="C10" i="16"/>
  <c r="E23" i="15"/>
  <c r="D23" i="15"/>
  <c r="E78" i="10" s="1"/>
  <c r="I23" i="15"/>
  <c r="G118" i="5"/>
  <c r="G256" i="5" s="1"/>
  <c r="C52" i="12" s="1"/>
  <c r="G844" i="6"/>
  <c r="C21" i="12"/>
  <c r="C105" i="7"/>
  <c r="C106" i="7" s="1"/>
  <c r="C787" i="6"/>
  <c r="D37" i="10" s="1"/>
  <c r="E64" i="10"/>
  <c r="E63" i="10"/>
  <c r="E62" i="10"/>
  <c r="C41" i="16"/>
  <c r="E52" i="10"/>
  <c r="E50" i="10"/>
  <c r="E49" i="10"/>
  <c r="C34" i="16"/>
  <c r="E45" i="10"/>
  <c r="C45" i="10"/>
  <c r="C32" i="16" s="1"/>
  <c r="E44" i="10"/>
  <c r="C33" i="16"/>
  <c r="E43" i="10"/>
  <c r="C31" i="16"/>
  <c r="E42" i="10"/>
  <c r="C30" i="16"/>
  <c r="E41" i="10"/>
  <c r="E40" i="10"/>
  <c r="E37" i="10"/>
  <c r="E36" i="10"/>
  <c r="E35" i="10"/>
  <c r="E34" i="10"/>
  <c r="E33" i="10"/>
  <c r="E32" i="10"/>
  <c r="E31" i="10"/>
  <c r="E30" i="10"/>
  <c r="E20" i="10"/>
  <c r="C20" i="10"/>
  <c r="E19" i="10"/>
  <c r="E18" i="10"/>
  <c r="E17" i="10"/>
  <c r="E16" i="10"/>
  <c r="E13" i="10"/>
  <c r="E12" i="10"/>
  <c r="C6" i="16"/>
  <c r="E8" i="10"/>
  <c r="F14" i="9"/>
  <c r="E14" i="9"/>
  <c r="D14" i="9"/>
  <c r="C14" i="9"/>
  <c r="G677" i="4"/>
  <c r="G694" i="4"/>
  <c r="G755" i="4"/>
  <c r="G731" i="4"/>
  <c r="G749" i="4"/>
  <c r="G366" i="4"/>
  <c r="G488" i="4"/>
  <c r="G163" i="4"/>
  <c r="G165" i="4" s="1"/>
  <c r="G181" i="4"/>
  <c r="G209" i="4"/>
  <c r="G549" i="4"/>
  <c r="G589" i="14"/>
  <c r="G564" i="8"/>
  <c r="G627" i="14" s="1"/>
  <c r="G601" i="14"/>
  <c r="G608" i="14"/>
  <c r="G609" i="14"/>
  <c r="G553" i="8"/>
  <c r="G319" i="14" s="1"/>
  <c r="G294" i="14"/>
  <c r="G559" i="8"/>
  <c r="G454" i="14" s="1"/>
  <c r="G557" i="8"/>
  <c r="G528" i="14" s="1"/>
  <c r="G554" i="8"/>
  <c r="G410" i="14" s="1"/>
  <c r="G400" i="14"/>
  <c r="G558" i="8"/>
  <c r="G225" i="14" s="1"/>
  <c r="G312" i="8"/>
  <c r="G177" i="14" s="1"/>
  <c r="G313" i="8"/>
  <c r="G193" i="14" s="1"/>
  <c r="G194" i="14" s="1"/>
  <c r="G314" i="8"/>
  <c r="G462" i="14" s="1"/>
  <c r="G538" i="14"/>
  <c r="G284" i="14"/>
  <c r="F366" i="4"/>
  <c r="K366" i="4" s="1"/>
  <c r="F163" i="4"/>
  <c r="K163" i="4" s="1"/>
  <c r="F181" i="4"/>
  <c r="F209" i="4"/>
  <c r="F549" i="4"/>
  <c r="F553" i="8"/>
  <c r="F319" i="14" s="1"/>
  <c r="F294" i="14"/>
  <c r="F298" i="14"/>
  <c r="F291" i="14"/>
  <c r="F559" i="8"/>
  <c r="F454" i="14" s="1"/>
  <c r="F554" i="8"/>
  <c r="F410" i="14" s="1"/>
  <c r="F558" i="8"/>
  <c r="F225" i="14" s="1"/>
  <c r="F312" i="8"/>
  <c r="F177" i="14" s="1"/>
  <c r="F313" i="8"/>
  <c r="F193" i="14" s="1"/>
  <c r="F194" i="14" s="1"/>
  <c r="F314" i="8"/>
  <c r="F462" i="14" s="1"/>
  <c r="E366" i="4"/>
  <c r="E163" i="4"/>
  <c r="E181" i="4"/>
  <c r="E209" i="4"/>
  <c r="E549" i="4"/>
  <c r="K549" i="4" s="1"/>
  <c r="E553" i="8"/>
  <c r="E319" i="14" s="1"/>
  <c r="E294" i="14"/>
  <c r="E298" i="14"/>
  <c r="E291" i="14"/>
  <c r="E559" i="8"/>
  <c r="E454" i="14" s="1"/>
  <c r="E554" i="8"/>
  <c r="E410" i="14" s="1"/>
  <c r="E558" i="8"/>
  <c r="E225" i="14" s="1"/>
  <c r="E312" i="8"/>
  <c r="E177" i="14" s="1"/>
  <c r="E313" i="8"/>
  <c r="E193" i="14" s="1"/>
  <c r="E194" i="14" s="1"/>
  <c r="E314" i="8"/>
  <c r="E462" i="14" s="1"/>
  <c r="E39" i="14"/>
  <c r="D366" i="4"/>
  <c r="D163" i="4"/>
  <c r="D165" i="4" s="1"/>
  <c r="D651" i="14" s="1"/>
  <c r="D181" i="4"/>
  <c r="D209" i="4"/>
  <c r="D549" i="4"/>
  <c r="D553" i="8"/>
  <c r="D319" i="14" s="1"/>
  <c r="D294" i="14"/>
  <c r="D298" i="14"/>
  <c r="D291" i="14"/>
  <c r="D312" i="8"/>
  <c r="D313" i="8"/>
  <c r="D193" i="14" s="1"/>
  <c r="D194" i="14" s="1"/>
  <c r="D314" i="8"/>
  <c r="D462" i="14" s="1"/>
  <c r="H844" i="6"/>
  <c r="D787" i="6"/>
  <c r="D868" i="6" s="1"/>
  <c r="D844" i="6"/>
  <c r="G571" i="14"/>
  <c r="F538" i="14"/>
  <c r="E538" i="14"/>
  <c r="D538" i="14"/>
  <c r="F403" i="14"/>
  <c r="E403" i="14"/>
  <c r="D403" i="14"/>
  <c r="F284" i="14"/>
  <c r="E284" i="14"/>
  <c r="D284" i="14"/>
  <c r="G273" i="14"/>
  <c r="F273" i="14"/>
  <c r="E273" i="14"/>
  <c r="D273" i="14"/>
  <c r="F106" i="14"/>
  <c r="E106" i="14"/>
  <c r="D106" i="14"/>
  <c r="G100" i="14"/>
  <c r="F100" i="14"/>
  <c r="E100" i="14"/>
  <c r="D100" i="14"/>
  <c r="G105" i="7"/>
  <c r="G109" i="3"/>
  <c r="D105" i="7"/>
  <c r="D109" i="3"/>
  <c r="C109" i="3"/>
  <c r="D118" i="5"/>
  <c r="D256" i="5" s="1"/>
  <c r="H206" i="13"/>
  <c r="F206" i="13"/>
  <c r="E206" i="13"/>
  <c r="D206" i="13"/>
  <c r="C206" i="13"/>
  <c r="O592" i="8"/>
  <c r="N592" i="8"/>
  <c r="O591" i="8"/>
  <c r="N591" i="8"/>
  <c r="G517" i="14"/>
  <c r="F517" i="14"/>
  <c r="E588" i="8"/>
  <c r="E517" i="14" s="1"/>
  <c r="D517" i="14"/>
  <c r="G63" i="14"/>
  <c r="F63" i="14"/>
  <c r="E63" i="14"/>
  <c r="D63" i="14"/>
  <c r="G584" i="8"/>
  <c r="G79" i="14" s="1"/>
  <c r="F584" i="8"/>
  <c r="F79" i="14" s="1"/>
  <c r="E584" i="8"/>
  <c r="E79" i="14" s="1"/>
  <c r="D584" i="8"/>
  <c r="D79" i="14" s="1"/>
  <c r="G583" i="8"/>
  <c r="G394" i="14" s="1"/>
  <c r="F583" i="8"/>
  <c r="F394" i="14" s="1"/>
  <c r="E583" i="8"/>
  <c r="E394" i="14" s="1"/>
  <c r="D583" i="8"/>
  <c r="D394" i="14" s="1"/>
  <c r="G582" i="8"/>
  <c r="G417" i="14" s="1"/>
  <c r="F582" i="8"/>
  <c r="F417" i="14" s="1"/>
  <c r="E582" i="8"/>
  <c r="E417" i="14" s="1"/>
  <c r="D582" i="8"/>
  <c r="D417" i="14" s="1"/>
  <c r="J581" i="8"/>
  <c r="R579" i="8"/>
  <c r="R581" i="8" s="1"/>
  <c r="H546" i="14" s="1"/>
  <c r="Q579" i="8"/>
  <c r="Q581" i="8" s="1"/>
  <c r="G546" i="14" s="1"/>
  <c r="O579" i="8"/>
  <c r="O581" i="8" s="1"/>
  <c r="E546" i="14" s="1"/>
  <c r="N579" i="8"/>
  <c r="N581" i="8" s="1"/>
  <c r="D546" i="14" s="1"/>
  <c r="M579" i="8"/>
  <c r="M581" i="8" s="1"/>
  <c r="C546" i="14" s="1"/>
  <c r="G579" i="8"/>
  <c r="G498" i="14" s="1"/>
  <c r="F579" i="8"/>
  <c r="F498" i="14" s="1"/>
  <c r="E579" i="8"/>
  <c r="E498" i="14" s="1"/>
  <c r="D579" i="8"/>
  <c r="D498" i="14" s="1"/>
  <c r="G578" i="8"/>
  <c r="G226" i="14" s="1"/>
  <c r="F578" i="8"/>
  <c r="F226" i="14" s="1"/>
  <c r="E578" i="8"/>
  <c r="E226" i="14" s="1"/>
  <c r="D578" i="8"/>
  <c r="D226" i="14" s="1"/>
  <c r="F411" i="14"/>
  <c r="E411" i="14"/>
  <c r="D411" i="14"/>
  <c r="G576" i="8"/>
  <c r="G320" i="14" s="1"/>
  <c r="E576" i="8"/>
  <c r="E320" i="14" s="1"/>
  <c r="D576" i="8"/>
  <c r="D320" i="14" s="1"/>
  <c r="G575" i="8"/>
  <c r="G248" i="14" s="1"/>
  <c r="F575" i="8"/>
  <c r="F248" i="14" s="1"/>
  <c r="E575" i="8"/>
  <c r="E248" i="14" s="1"/>
  <c r="D575" i="8"/>
  <c r="D248" i="14" s="1"/>
  <c r="G574" i="8"/>
  <c r="G376" i="14" s="1"/>
  <c r="F574" i="8"/>
  <c r="F376" i="14" s="1"/>
  <c r="E574" i="8"/>
  <c r="E376" i="14" s="1"/>
  <c r="D574" i="8"/>
  <c r="D376" i="14" s="1"/>
  <c r="G572" i="8"/>
  <c r="G49" i="14" s="1"/>
  <c r="F572" i="8"/>
  <c r="F49" i="14" s="1"/>
  <c r="E572" i="8"/>
  <c r="E49" i="14" s="1"/>
  <c r="D572" i="8"/>
  <c r="D49" i="14" s="1"/>
  <c r="G571" i="8"/>
  <c r="F571" i="8"/>
  <c r="E571" i="8"/>
  <c r="D571" i="8"/>
  <c r="J570" i="8"/>
  <c r="G561" i="8"/>
  <c r="G515" i="14" s="1"/>
  <c r="F561" i="8"/>
  <c r="F515" i="14" s="1"/>
  <c r="E561" i="8"/>
  <c r="E515" i="14" s="1"/>
  <c r="D561" i="8"/>
  <c r="D515" i="14" s="1"/>
  <c r="D559" i="8"/>
  <c r="D454" i="14" s="1"/>
  <c r="D558" i="8"/>
  <c r="D225" i="14" s="1"/>
  <c r="F557" i="8"/>
  <c r="F528" i="14" s="1"/>
  <c r="E557" i="8"/>
  <c r="E528" i="14" s="1"/>
  <c r="D557" i="8"/>
  <c r="D528" i="14" s="1"/>
  <c r="A558" i="8"/>
  <c r="G555" i="8"/>
  <c r="F555" i="8"/>
  <c r="E555" i="8"/>
  <c r="D555" i="8"/>
  <c r="D50" i="14" s="1"/>
  <c r="D554" i="8"/>
  <c r="H547" i="8"/>
  <c r="G547" i="8"/>
  <c r="G626" i="14" s="1"/>
  <c r="F547" i="8"/>
  <c r="E547" i="8"/>
  <c r="D547" i="8"/>
  <c r="C547" i="8"/>
  <c r="B547" i="8"/>
  <c r="H546" i="8"/>
  <c r="G546" i="8"/>
  <c r="G588" i="14" s="1"/>
  <c r="F546" i="8"/>
  <c r="E546" i="8"/>
  <c r="D546" i="8"/>
  <c r="C546" i="8"/>
  <c r="B546" i="8"/>
  <c r="B544" i="8"/>
  <c r="G543" i="8"/>
  <c r="G452" i="14" s="1"/>
  <c r="F543" i="8"/>
  <c r="F452" i="14" s="1"/>
  <c r="E543" i="8"/>
  <c r="E452" i="14" s="1"/>
  <c r="D452" i="14"/>
  <c r="G542" i="8"/>
  <c r="G62" i="14" s="1"/>
  <c r="F542" i="8"/>
  <c r="F62" i="14" s="1"/>
  <c r="E542" i="8"/>
  <c r="E62" i="14" s="1"/>
  <c r="D542" i="8"/>
  <c r="D62" i="14" s="1"/>
  <c r="G541" i="8"/>
  <c r="G224" i="14" s="1"/>
  <c r="F541" i="8"/>
  <c r="F224" i="14" s="1"/>
  <c r="E541" i="8"/>
  <c r="E224" i="14" s="1"/>
  <c r="D541" i="8"/>
  <c r="D224" i="14" s="1"/>
  <c r="G540" i="8"/>
  <c r="G318" i="14" s="1"/>
  <c r="F540" i="8"/>
  <c r="F318" i="14" s="1"/>
  <c r="E540" i="8"/>
  <c r="E318" i="14" s="1"/>
  <c r="D540" i="8"/>
  <c r="D318" i="14" s="1"/>
  <c r="G539" i="8"/>
  <c r="G259" i="14" s="1"/>
  <c r="F539" i="8"/>
  <c r="F259" i="14" s="1"/>
  <c r="E539" i="8"/>
  <c r="E259" i="14" s="1"/>
  <c r="D539" i="8"/>
  <c r="D259" i="14" s="1"/>
  <c r="G538" i="8"/>
  <c r="G247" i="14" s="1"/>
  <c r="F538" i="8"/>
  <c r="F247" i="14" s="1"/>
  <c r="E538" i="8"/>
  <c r="E247" i="14" s="1"/>
  <c r="D538" i="8"/>
  <c r="D247" i="14" s="1"/>
  <c r="G537" i="8"/>
  <c r="G163" i="14" s="1"/>
  <c r="F537" i="8"/>
  <c r="F163" i="14" s="1"/>
  <c r="E537" i="8"/>
  <c r="E163" i="14" s="1"/>
  <c r="D537" i="8"/>
  <c r="D163" i="14" s="1"/>
  <c r="A537" i="8"/>
  <c r="A538" i="8" s="1"/>
  <c r="A539" i="8" s="1"/>
  <c r="A540" i="8" s="1"/>
  <c r="G536" i="8"/>
  <c r="G283" i="14" s="1"/>
  <c r="F536" i="8"/>
  <c r="F283" i="14" s="1"/>
  <c r="E536" i="8"/>
  <c r="E283" i="14" s="1"/>
  <c r="D536" i="8"/>
  <c r="D283" i="14" s="1"/>
  <c r="H530" i="8"/>
  <c r="G530" i="8"/>
  <c r="G625" i="14" s="1"/>
  <c r="H529" i="8"/>
  <c r="G529" i="8"/>
  <c r="G587" i="14" s="1"/>
  <c r="G516" i="14"/>
  <c r="F516" i="14"/>
  <c r="E516" i="14"/>
  <c r="D516" i="14"/>
  <c r="B528" i="8"/>
  <c r="G527" i="8"/>
  <c r="G391" i="14" s="1"/>
  <c r="F527" i="8"/>
  <c r="F391" i="14" s="1"/>
  <c r="E527" i="8"/>
  <c r="E391" i="14" s="1"/>
  <c r="D527" i="8"/>
  <c r="D391" i="14" s="1"/>
  <c r="G526" i="8"/>
  <c r="G545" i="14" s="1"/>
  <c r="F526" i="8"/>
  <c r="F545" i="14" s="1"/>
  <c r="E526" i="8"/>
  <c r="E545" i="14" s="1"/>
  <c r="D526" i="8"/>
  <c r="D545" i="14" s="1"/>
  <c r="G525" i="8"/>
  <c r="G453" i="14" s="1"/>
  <c r="F453" i="14"/>
  <c r="E525" i="8"/>
  <c r="E453" i="14" s="1"/>
  <c r="D525" i="8"/>
  <c r="D453" i="14" s="1"/>
  <c r="G523" i="8"/>
  <c r="G78" i="14" s="1"/>
  <c r="F523" i="8"/>
  <c r="F78" i="14" s="1"/>
  <c r="E523" i="8"/>
  <c r="E78" i="14" s="1"/>
  <c r="D523" i="8"/>
  <c r="D78" i="14" s="1"/>
  <c r="B523" i="8"/>
  <c r="G522" i="8"/>
  <c r="G61" i="14" s="1"/>
  <c r="F522" i="8"/>
  <c r="F61" i="14" s="1"/>
  <c r="E522" i="8"/>
  <c r="E61" i="14" s="1"/>
  <c r="D522" i="8"/>
  <c r="D61" i="14" s="1"/>
  <c r="G521" i="8"/>
  <c r="G140" i="14" s="1"/>
  <c r="F521" i="8"/>
  <c r="F140" i="14" s="1"/>
  <c r="D521" i="8"/>
  <c r="D140" i="14" s="1"/>
  <c r="G520" i="8"/>
  <c r="G105" i="14" s="1"/>
  <c r="F520" i="8"/>
  <c r="F105" i="14" s="1"/>
  <c r="E520" i="8"/>
  <c r="E105" i="14" s="1"/>
  <c r="D520" i="8"/>
  <c r="D105" i="14" s="1"/>
  <c r="G519" i="8"/>
  <c r="G46" i="14" s="1"/>
  <c r="F519" i="8"/>
  <c r="F46" i="14" s="1"/>
  <c r="E519" i="8"/>
  <c r="E46" i="14" s="1"/>
  <c r="D519" i="8"/>
  <c r="D46" i="14" s="1"/>
  <c r="G518" i="8"/>
  <c r="G223" i="14" s="1"/>
  <c r="F518" i="8"/>
  <c r="F223" i="14" s="1"/>
  <c r="E518" i="8"/>
  <c r="E223" i="14" s="1"/>
  <c r="D518" i="8"/>
  <c r="D223" i="14" s="1"/>
  <c r="G517" i="8"/>
  <c r="G317" i="14" s="1"/>
  <c r="F517" i="8"/>
  <c r="F317" i="14" s="1"/>
  <c r="E517" i="8"/>
  <c r="E317" i="14" s="1"/>
  <c r="D517" i="8"/>
  <c r="D317" i="14" s="1"/>
  <c r="G516" i="8"/>
  <c r="G431" i="14" s="1"/>
  <c r="F516" i="8"/>
  <c r="F431" i="14" s="1"/>
  <c r="E516" i="8"/>
  <c r="E431" i="14" s="1"/>
  <c r="D516" i="8"/>
  <c r="D431" i="14" s="1"/>
  <c r="G515" i="8"/>
  <c r="G162" i="14" s="1"/>
  <c r="F515" i="8"/>
  <c r="F162" i="14" s="1"/>
  <c r="E515" i="8"/>
  <c r="E162" i="14" s="1"/>
  <c r="D515" i="8"/>
  <c r="D162" i="14" s="1"/>
  <c r="G508" i="8"/>
  <c r="G624" i="14" s="1"/>
  <c r="G507" i="8"/>
  <c r="G586" i="14" s="1"/>
  <c r="G506" i="8"/>
  <c r="G179" i="14" s="1"/>
  <c r="F506" i="8"/>
  <c r="F179" i="14" s="1"/>
  <c r="E506" i="8"/>
  <c r="E179" i="14" s="1"/>
  <c r="D506" i="8"/>
  <c r="D179" i="14" s="1"/>
  <c r="G505" i="8"/>
  <c r="G47" i="14" s="1"/>
  <c r="F505" i="8"/>
  <c r="F47" i="14" s="1"/>
  <c r="E505" i="8"/>
  <c r="D505" i="8"/>
  <c r="D47" i="14" s="1"/>
  <c r="G499" i="8"/>
  <c r="G623" i="14" s="1"/>
  <c r="G498" i="8"/>
  <c r="G585" i="14" s="1"/>
  <c r="G495" i="8"/>
  <c r="G77" i="14" s="1"/>
  <c r="F495" i="8"/>
  <c r="F77" i="14" s="1"/>
  <c r="E495" i="8"/>
  <c r="E77" i="14" s="1"/>
  <c r="D495" i="8"/>
  <c r="D77" i="14" s="1"/>
  <c r="G494" i="8"/>
  <c r="G409" i="14" s="1"/>
  <c r="F494" i="8"/>
  <c r="F409" i="14" s="1"/>
  <c r="E494" i="8"/>
  <c r="E409" i="14" s="1"/>
  <c r="D494" i="8"/>
  <c r="D409" i="14" s="1"/>
  <c r="G493" i="8"/>
  <c r="G432" i="14" s="1"/>
  <c r="F493" i="8"/>
  <c r="F432" i="14" s="1"/>
  <c r="E493" i="8"/>
  <c r="E432" i="14" s="1"/>
  <c r="D493" i="8"/>
  <c r="D432" i="14" s="1"/>
  <c r="G492" i="8"/>
  <c r="G451" i="14" s="1"/>
  <c r="F492" i="8"/>
  <c r="F451" i="14" s="1"/>
  <c r="E492" i="8"/>
  <c r="E451" i="14" s="1"/>
  <c r="D492" i="8"/>
  <c r="D451" i="14" s="1"/>
  <c r="G491" i="8"/>
  <c r="G48" i="14" s="1"/>
  <c r="F491" i="8"/>
  <c r="F48" i="14" s="1"/>
  <c r="E491" i="8"/>
  <c r="E48" i="14" s="1"/>
  <c r="D491" i="8"/>
  <c r="D48" i="14" s="1"/>
  <c r="B491" i="8"/>
  <c r="G490" i="8"/>
  <c r="G222" i="14" s="1"/>
  <c r="F490" i="8"/>
  <c r="F222" i="14" s="1"/>
  <c r="E490" i="8"/>
  <c r="E222" i="14" s="1"/>
  <c r="D490" i="8"/>
  <c r="D222" i="14" s="1"/>
  <c r="G489" i="8"/>
  <c r="G316" i="14" s="1"/>
  <c r="F489" i="8"/>
  <c r="F316" i="14" s="1"/>
  <c r="E489" i="8"/>
  <c r="E316" i="14" s="1"/>
  <c r="D489" i="8"/>
  <c r="D316" i="14" s="1"/>
  <c r="J483" i="8"/>
  <c r="G622" i="14"/>
  <c r="J482" i="8"/>
  <c r="G584" i="14"/>
  <c r="G407" i="14"/>
  <c r="F407" i="14"/>
  <c r="E407" i="14"/>
  <c r="D407" i="14"/>
  <c r="G526" i="14"/>
  <c r="F526" i="14"/>
  <c r="E526" i="14"/>
  <c r="D526" i="14"/>
  <c r="G477" i="8"/>
  <c r="G514" i="14" s="1"/>
  <c r="F477" i="8"/>
  <c r="F514" i="14" s="1"/>
  <c r="E477" i="8"/>
  <c r="E514" i="14" s="1"/>
  <c r="D477" i="8"/>
  <c r="D514" i="14" s="1"/>
  <c r="G475" i="8"/>
  <c r="G16" i="14" s="1"/>
  <c r="F475" i="8"/>
  <c r="F16" i="14" s="1"/>
  <c r="E475" i="8"/>
  <c r="E16" i="14" s="1"/>
  <c r="D475" i="8"/>
  <c r="D16" i="14" s="1"/>
  <c r="G472" i="8"/>
  <c r="G104" i="14" s="1"/>
  <c r="F472" i="8"/>
  <c r="F104" i="14" s="1"/>
  <c r="E472" i="8"/>
  <c r="E104" i="14" s="1"/>
  <c r="D472" i="8"/>
  <c r="D104" i="14" s="1"/>
  <c r="G471" i="8"/>
  <c r="G544" i="14" s="1"/>
  <c r="F471" i="8"/>
  <c r="F544" i="14" s="1"/>
  <c r="E471" i="8"/>
  <c r="E544" i="14" s="1"/>
  <c r="D471" i="8"/>
  <c r="D544" i="14" s="1"/>
  <c r="G221" i="14"/>
  <c r="F221" i="14"/>
  <c r="E221" i="14"/>
  <c r="D221" i="14"/>
  <c r="G60" i="14"/>
  <c r="F60" i="14"/>
  <c r="E60" i="14"/>
  <c r="D60" i="14"/>
  <c r="G315" i="14"/>
  <c r="F315" i="14"/>
  <c r="E315" i="14"/>
  <c r="D315" i="14"/>
  <c r="G465" i="8"/>
  <c r="G93" i="14" s="1"/>
  <c r="F465" i="8"/>
  <c r="F93" i="14" s="1"/>
  <c r="E465" i="8"/>
  <c r="E93" i="14" s="1"/>
  <c r="D465" i="8"/>
  <c r="D93" i="14" s="1"/>
  <c r="G281" i="14"/>
  <c r="F281" i="14"/>
  <c r="E281" i="14"/>
  <c r="D281" i="14"/>
  <c r="H458" i="8"/>
  <c r="G458" i="8"/>
  <c r="G621" i="14" s="1"/>
  <c r="F458" i="8"/>
  <c r="E458" i="8"/>
  <c r="D458" i="8"/>
  <c r="C458" i="8"/>
  <c r="H457" i="8"/>
  <c r="G457" i="8"/>
  <c r="G583" i="14" s="1"/>
  <c r="F457" i="8"/>
  <c r="E457" i="8"/>
  <c r="D457" i="8"/>
  <c r="C457" i="8"/>
  <c r="G456" i="8"/>
  <c r="G372" i="14" s="1"/>
  <c r="F456" i="8"/>
  <c r="F372" i="14" s="1"/>
  <c r="E456" i="8"/>
  <c r="E372" i="14" s="1"/>
  <c r="D456" i="8"/>
  <c r="D372" i="14" s="1"/>
  <c r="B456" i="8"/>
  <c r="G455" i="8"/>
  <c r="G447" i="14" s="1"/>
  <c r="F455" i="8"/>
  <c r="F447" i="14" s="1"/>
  <c r="E455" i="8"/>
  <c r="E447" i="14" s="1"/>
  <c r="D455" i="8"/>
  <c r="D447" i="14" s="1"/>
  <c r="G454" i="8"/>
  <c r="G59" i="14" s="1"/>
  <c r="F454" i="8"/>
  <c r="F59" i="14" s="1"/>
  <c r="E454" i="8"/>
  <c r="E59" i="14" s="1"/>
  <c r="D454" i="8"/>
  <c r="D59" i="14" s="1"/>
  <c r="G453" i="8"/>
  <c r="G390" i="14" s="1"/>
  <c r="F453" i="8"/>
  <c r="F390" i="14" s="1"/>
  <c r="E453" i="8"/>
  <c r="E390" i="14" s="1"/>
  <c r="D453" i="8"/>
  <c r="D390" i="14" s="1"/>
  <c r="G452" i="8"/>
  <c r="G543" i="14" s="1"/>
  <c r="F452" i="8"/>
  <c r="F543" i="14" s="1"/>
  <c r="E452" i="8"/>
  <c r="E543" i="14" s="1"/>
  <c r="D452" i="8"/>
  <c r="D543" i="14" s="1"/>
  <c r="G450" i="8"/>
  <c r="G103" i="14" s="1"/>
  <c r="F450" i="8"/>
  <c r="F103" i="14" s="1"/>
  <c r="E450" i="8"/>
  <c r="E103" i="14" s="1"/>
  <c r="D450" i="8"/>
  <c r="D103" i="14" s="1"/>
  <c r="B450" i="8"/>
  <c r="G449" i="8"/>
  <c r="G220" i="14" s="1"/>
  <c r="F449" i="8"/>
  <c r="F220" i="14" s="1"/>
  <c r="E449" i="8"/>
  <c r="E220" i="14" s="1"/>
  <c r="D449" i="8"/>
  <c r="D220" i="14" s="1"/>
  <c r="G448" i="8"/>
  <c r="G406" i="14" s="1"/>
  <c r="F448" i="8"/>
  <c r="F406" i="14" s="1"/>
  <c r="E448" i="8"/>
  <c r="E406" i="14" s="1"/>
  <c r="D448" i="8"/>
  <c r="D406" i="14" s="1"/>
  <c r="G447" i="8"/>
  <c r="G314" i="14" s="1"/>
  <c r="F447" i="8"/>
  <c r="F314" i="14" s="1"/>
  <c r="E447" i="8"/>
  <c r="E314" i="14" s="1"/>
  <c r="D447" i="8"/>
  <c r="D314" i="14" s="1"/>
  <c r="G446" i="8"/>
  <c r="G245" i="14" s="1"/>
  <c r="F446" i="8"/>
  <c r="F245" i="14" s="1"/>
  <c r="E446" i="8"/>
  <c r="E245" i="14" s="1"/>
  <c r="D446" i="8"/>
  <c r="D245" i="14" s="1"/>
  <c r="G445" i="8"/>
  <c r="G280" i="14" s="1"/>
  <c r="F445" i="8"/>
  <c r="F280" i="14" s="1"/>
  <c r="E445" i="8"/>
  <c r="E280" i="14" s="1"/>
  <c r="D445" i="8"/>
  <c r="D280" i="14" s="1"/>
  <c r="J434" i="8"/>
  <c r="Q430" i="8"/>
  <c r="Q432" i="8" s="1"/>
  <c r="H313" i="14" s="1"/>
  <c r="P430" i="8"/>
  <c r="P432" i="8" s="1"/>
  <c r="G313" i="14" s="1"/>
  <c r="O430" i="8"/>
  <c r="O432" i="8" s="1"/>
  <c r="N430" i="8"/>
  <c r="N432" i="8" s="1"/>
  <c r="E313" i="14" s="1"/>
  <c r="M430" i="8"/>
  <c r="M432" i="8" s="1"/>
  <c r="D313" i="14" s="1"/>
  <c r="L430" i="8"/>
  <c r="L432" i="8" s="1"/>
  <c r="C313" i="14" s="1"/>
  <c r="G619" i="14"/>
  <c r="G581" i="14"/>
  <c r="G448" i="14"/>
  <c r="F448" i="14"/>
  <c r="E448" i="14"/>
  <c r="D448" i="14"/>
  <c r="G75" i="14"/>
  <c r="F75" i="14"/>
  <c r="E75" i="14"/>
  <c r="D75" i="14"/>
  <c r="B413" i="8"/>
  <c r="G186" i="14"/>
  <c r="G188" i="14" s="1"/>
  <c r="F186" i="14"/>
  <c r="F188" i="14" s="1"/>
  <c r="E186" i="14"/>
  <c r="E188" i="14" s="1"/>
  <c r="D186" i="14"/>
  <c r="D188" i="14" s="1"/>
  <c r="G410" i="8"/>
  <c r="G178" i="14" s="1"/>
  <c r="F410" i="8"/>
  <c r="F178" i="14" s="1"/>
  <c r="E410" i="8"/>
  <c r="E178" i="14" s="1"/>
  <c r="D410" i="8"/>
  <c r="D178" i="14" s="1"/>
  <c r="G138" i="14"/>
  <c r="F138" i="14"/>
  <c r="D138" i="14"/>
  <c r="F407" i="8"/>
  <c r="F491" i="14" s="1"/>
  <c r="E407" i="8"/>
  <c r="E491" i="14" s="1"/>
  <c r="D407" i="8"/>
  <c r="D491" i="14" s="1"/>
  <c r="G312" i="14"/>
  <c r="F312" i="14"/>
  <c r="E312" i="14"/>
  <c r="D312" i="14"/>
  <c r="P399" i="8"/>
  <c r="P400" i="8" s="1"/>
  <c r="G580" i="14" s="1"/>
  <c r="N399" i="8"/>
  <c r="N400" i="8" s="1"/>
  <c r="G618" i="14" s="1"/>
  <c r="G217" i="14"/>
  <c r="F217" i="14"/>
  <c r="E217" i="14"/>
  <c r="D217" i="14"/>
  <c r="R392" i="8"/>
  <c r="R394" i="8" s="1"/>
  <c r="H490" i="14" s="1"/>
  <c r="P392" i="8"/>
  <c r="P394" i="8" s="1"/>
  <c r="O392" i="8"/>
  <c r="O394" i="8" s="1"/>
  <c r="E490" i="14" s="1"/>
  <c r="N392" i="8"/>
  <c r="N394" i="8" s="1"/>
  <c r="D490" i="14" s="1"/>
  <c r="M392" i="8"/>
  <c r="M394" i="8" s="1"/>
  <c r="C490" i="14" s="1"/>
  <c r="E257" i="14"/>
  <c r="D257" i="14"/>
  <c r="R390" i="8"/>
  <c r="Q390" i="8"/>
  <c r="Q391" i="8" s="1"/>
  <c r="G311" i="14" s="1"/>
  <c r="P390" i="8"/>
  <c r="O390" i="8"/>
  <c r="O391" i="8" s="1"/>
  <c r="E311" i="14" s="1"/>
  <c r="N390" i="8"/>
  <c r="N391" i="8" s="1"/>
  <c r="D311" i="14" s="1"/>
  <c r="G386" i="8"/>
  <c r="G617" i="14" s="1"/>
  <c r="G385" i="8"/>
  <c r="G579" i="14" s="1"/>
  <c r="G384" i="8"/>
  <c r="G542" i="14" s="1"/>
  <c r="F384" i="8"/>
  <c r="F542" i="14" s="1"/>
  <c r="E384" i="8"/>
  <c r="E542" i="14" s="1"/>
  <c r="D384" i="8"/>
  <c r="D542" i="14" s="1"/>
  <c r="G383" i="8"/>
  <c r="G74" i="14" s="1"/>
  <c r="F383" i="8"/>
  <c r="F74" i="14" s="1"/>
  <c r="E383" i="8"/>
  <c r="E74" i="14" s="1"/>
  <c r="D383" i="8"/>
  <c r="D74" i="14" s="1"/>
  <c r="G382" i="8"/>
  <c r="G45" i="14" s="1"/>
  <c r="F382" i="8"/>
  <c r="F45" i="14" s="1"/>
  <c r="E382" i="8"/>
  <c r="E45" i="14" s="1"/>
  <c r="D382" i="8"/>
  <c r="D45" i="14" s="1"/>
  <c r="G380" i="8"/>
  <c r="G513" i="14" s="1"/>
  <c r="F380" i="8"/>
  <c r="F513" i="14" s="1"/>
  <c r="E380" i="8"/>
  <c r="E513" i="14" s="1"/>
  <c r="D380" i="8"/>
  <c r="D513" i="14" s="1"/>
  <c r="G379" i="8"/>
  <c r="G216" i="14" s="1"/>
  <c r="F379" i="8"/>
  <c r="F216" i="14" s="1"/>
  <c r="E379" i="8"/>
  <c r="E216" i="14" s="1"/>
  <c r="D379" i="8"/>
  <c r="D216" i="14" s="1"/>
  <c r="G378" i="8"/>
  <c r="G158" i="14" s="1"/>
  <c r="F378" i="8"/>
  <c r="F158" i="14" s="1"/>
  <c r="E378" i="8"/>
  <c r="E158" i="14" s="1"/>
  <c r="D378" i="8"/>
  <c r="D158" i="14" s="1"/>
  <c r="G377" i="8"/>
  <c r="G139" i="14" s="1"/>
  <c r="F377" i="8"/>
  <c r="F139" i="14" s="1"/>
  <c r="D377" i="8"/>
  <c r="D139" i="14" s="1"/>
  <c r="G376" i="8"/>
  <c r="G310" i="14" s="1"/>
  <c r="F376" i="8"/>
  <c r="F310" i="14" s="1"/>
  <c r="E376" i="8"/>
  <c r="E310" i="14" s="1"/>
  <c r="D376" i="8"/>
  <c r="D310" i="14" s="1"/>
  <c r="G375" i="8"/>
  <c r="G337" i="14" s="1"/>
  <c r="F375" i="8"/>
  <c r="F337" i="14" s="1"/>
  <c r="E375" i="8"/>
  <c r="E337" i="14" s="1"/>
  <c r="D375" i="8"/>
  <c r="D337" i="14" s="1"/>
  <c r="F374" i="8"/>
  <c r="F489" i="14" s="1"/>
  <c r="E374" i="8"/>
  <c r="E489" i="14" s="1"/>
  <c r="D374" i="8"/>
  <c r="D489" i="14" s="1"/>
  <c r="G368" i="8"/>
  <c r="G616" i="14" s="1"/>
  <c r="G367" i="8"/>
  <c r="G578" i="14" s="1"/>
  <c r="G364" i="8"/>
  <c r="G370" i="14" s="1"/>
  <c r="F364" i="8"/>
  <c r="F370" i="14" s="1"/>
  <c r="E364" i="8"/>
  <c r="E370" i="14" s="1"/>
  <c r="D364" i="8"/>
  <c r="D370" i="14" s="1"/>
  <c r="G362" i="8"/>
  <c r="F362" i="8"/>
  <c r="F277" i="14" s="1"/>
  <c r="E362" i="8"/>
  <c r="E277" i="14" s="1"/>
  <c r="D362" i="8"/>
  <c r="D277" i="14" s="1"/>
  <c r="G361" i="8"/>
  <c r="G309" i="14" s="1"/>
  <c r="F361" i="8"/>
  <c r="F309" i="14" s="1"/>
  <c r="E361" i="8"/>
  <c r="E309" i="14" s="1"/>
  <c r="D361" i="8"/>
  <c r="D309" i="14" s="1"/>
  <c r="F360" i="8"/>
  <c r="F488" i="14" s="1"/>
  <c r="E360" i="8"/>
  <c r="E488" i="14" s="1"/>
  <c r="D360" i="8"/>
  <c r="D488" i="14" s="1"/>
  <c r="G359" i="8"/>
  <c r="G157" i="14" s="1"/>
  <c r="F359" i="8"/>
  <c r="F157" i="14" s="1"/>
  <c r="E359" i="8"/>
  <c r="E157" i="14" s="1"/>
  <c r="D359" i="8"/>
  <c r="D157" i="14" s="1"/>
  <c r="G358" i="8"/>
  <c r="G461" i="14" s="1"/>
  <c r="F358" i="8"/>
  <c r="F461" i="14" s="1"/>
  <c r="E358" i="8"/>
  <c r="E461" i="14" s="1"/>
  <c r="D358" i="8"/>
  <c r="D461" i="14" s="1"/>
  <c r="G357" i="8"/>
  <c r="F357" i="8"/>
  <c r="E357" i="8"/>
  <c r="D357" i="8"/>
  <c r="G351" i="8"/>
  <c r="G615" i="14" s="1"/>
  <c r="G350" i="8"/>
  <c r="G577" i="14" s="1"/>
  <c r="G129" i="14"/>
  <c r="D129" i="14"/>
  <c r="G541" i="14"/>
  <c r="F541" i="14"/>
  <c r="E541" i="14"/>
  <c r="D348" i="8"/>
  <c r="D541" i="14" s="1"/>
  <c r="G346" i="8"/>
  <c r="G57" i="14" s="1"/>
  <c r="F346" i="8"/>
  <c r="F57" i="14" s="1"/>
  <c r="E346" i="8"/>
  <c r="E57" i="14" s="1"/>
  <c r="D346" i="8"/>
  <c r="D57" i="14" s="1"/>
  <c r="G404" i="14"/>
  <c r="F404" i="14"/>
  <c r="E404" i="14"/>
  <c r="D345" i="8"/>
  <c r="D404" i="14" s="1"/>
  <c r="G344" i="8"/>
  <c r="G44" i="14" s="1"/>
  <c r="F344" i="8"/>
  <c r="E344" i="8"/>
  <c r="E44" i="14" s="1"/>
  <c r="D344" i="8"/>
  <c r="D44" i="14" s="1"/>
  <c r="G343" i="8"/>
  <c r="G214" i="14" s="1"/>
  <c r="F343" i="8"/>
  <c r="F214" i="14" s="1"/>
  <c r="E343" i="8"/>
  <c r="E214" i="14" s="1"/>
  <c r="D343" i="8"/>
  <c r="D214" i="14" s="1"/>
  <c r="G342" i="8"/>
  <c r="G308" i="14" s="1"/>
  <c r="F342" i="8"/>
  <c r="F308" i="14" s="1"/>
  <c r="E342" i="8"/>
  <c r="E308" i="14" s="1"/>
  <c r="D342" i="8"/>
  <c r="D308" i="14" s="1"/>
  <c r="G341" i="8"/>
  <c r="G428" i="14" s="1"/>
  <c r="F341" i="8"/>
  <c r="F428" i="14" s="1"/>
  <c r="E341" i="8"/>
  <c r="E428" i="14" s="1"/>
  <c r="D341" i="8"/>
  <c r="D428" i="14" s="1"/>
  <c r="G340" i="8"/>
  <c r="G156" i="14" s="1"/>
  <c r="F340" i="8"/>
  <c r="F156" i="14" s="1"/>
  <c r="E340" i="8"/>
  <c r="E156" i="14" s="1"/>
  <c r="D340" i="8"/>
  <c r="D156" i="14" s="1"/>
  <c r="G276" i="14"/>
  <c r="F276" i="14"/>
  <c r="E276" i="14"/>
  <c r="D276" i="14"/>
  <c r="G338" i="8"/>
  <c r="F338" i="8"/>
  <c r="E338" i="8"/>
  <c r="D338" i="8"/>
  <c r="G332" i="8"/>
  <c r="G614" i="14" s="1"/>
  <c r="G331" i="8"/>
  <c r="G576" i="14" s="1"/>
  <c r="G329" i="8"/>
  <c r="G375" i="14" s="1"/>
  <c r="F329" i="8"/>
  <c r="F375" i="14" s="1"/>
  <c r="E329" i="8"/>
  <c r="E375" i="14" s="1"/>
  <c r="D329" i="8"/>
  <c r="D375" i="14" s="1"/>
  <c r="G328" i="8"/>
  <c r="G213" i="14" s="1"/>
  <c r="F328" i="8"/>
  <c r="F213" i="14" s="1"/>
  <c r="E328" i="8"/>
  <c r="E213" i="14" s="1"/>
  <c r="D328" i="8"/>
  <c r="D213" i="14" s="1"/>
  <c r="G327" i="8"/>
  <c r="G240" i="14" s="1"/>
  <c r="F327" i="8"/>
  <c r="F240" i="14" s="1"/>
  <c r="E327" i="8"/>
  <c r="E240" i="14" s="1"/>
  <c r="D327" i="8"/>
  <c r="D240" i="14" s="1"/>
  <c r="G326" i="8"/>
  <c r="G256" i="14" s="1"/>
  <c r="F326" i="8"/>
  <c r="F256" i="14" s="1"/>
  <c r="E326" i="8"/>
  <c r="E256" i="14" s="1"/>
  <c r="D326" i="8"/>
  <c r="D256" i="14" s="1"/>
  <c r="G325" i="8"/>
  <c r="G22" i="14" s="1"/>
  <c r="F325" i="8"/>
  <c r="F22" i="14" s="1"/>
  <c r="E325" i="8"/>
  <c r="E22" i="14" s="1"/>
  <c r="D325" i="8"/>
  <c r="D22" i="14" s="1"/>
  <c r="G324" i="8"/>
  <c r="G307" i="14" s="1"/>
  <c r="F324" i="8"/>
  <c r="F307" i="14" s="1"/>
  <c r="E324" i="8"/>
  <c r="E307" i="14" s="1"/>
  <c r="D324" i="8"/>
  <c r="D307" i="14" s="1"/>
  <c r="F323" i="8"/>
  <c r="E323" i="8"/>
  <c r="D323" i="8"/>
  <c r="J310" i="8"/>
  <c r="J309" i="8"/>
  <c r="N303" i="8"/>
  <c r="P303" i="8" s="1"/>
  <c r="G611" i="14" s="1"/>
  <c r="N302" i="8"/>
  <c r="P302" i="8" s="1"/>
  <c r="J302" i="8"/>
  <c r="G300" i="8"/>
  <c r="G328" i="14" s="1"/>
  <c r="F300" i="8"/>
  <c r="F328" i="14" s="1"/>
  <c r="E300" i="8"/>
  <c r="E328" i="14" s="1"/>
  <c r="D300" i="8"/>
  <c r="D328" i="14" s="1"/>
  <c r="G101" i="14"/>
  <c r="F101" i="14"/>
  <c r="E101" i="14"/>
  <c r="D101" i="14"/>
  <c r="G297" i="8"/>
  <c r="G540" i="14" s="1"/>
  <c r="F297" i="8"/>
  <c r="F540" i="14" s="1"/>
  <c r="E297" i="8"/>
  <c r="E540" i="14" s="1"/>
  <c r="D297" i="8"/>
  <c r="D540" i="14" s="1"/>
  <c r="G296" i="8"/>
  <c r="G429" i="14" s="1"/>
  <c r="F296" i="8"/>
  <c r="F429" i="14" s="1"/>
  <c r="E296" i="8"/>
  <c r="E429" i="14" s="1"/>
  <c r="D296" i="8"/>
  <c r="D429" i="14" s="1"/>
  <c r="G293" i="8"/>
  <c r="F293" i="8"/>
  <c r="E293" i="8"/>
  <c r="D293" i="8"/>
  <c r="G291" i="8"/>
  <c r="F291" i="8"/>
  <c r="E291" i="8"/>
  <c r="D291" i="8"/>
  <c r="G290" i="8"/>
  <c r="G511" i="14" s="1"/>
  <c r="F290" i="8"/>
  <c r="F511" i="14" s="1"/>
  <c r="E290" i="8"/>
  <c r="E511" i="14" s="1"/>
  <c r="D290" i="8"/>
  <c r="D511" i="14" s="1"/>
  <c r="L295" i="8"/>
  <c r="Q288" i="8"/>
  <c r="H43" i="14" s="1"/>
  <c r="P288" i="8"/>
  <c r="G43" i="14" s="1"/>
  <c r="O288" i="8"/>
  <c r="F43" i="14" s="1"/>
  <c r="N288" i="8"/>
  <c r="E43" i="14" s="1"/>
  <c r="M288" i="8"/>
  <c r="D43" i="14" s="1"/>
  <c r="L288" i="8"/>
  <c r="G288" i="8"/>
  <c r="G154" i="14" s="1"/>
  <c r="F288" i="8"/>
  <c r="F154" i="14" s="1"/>
  <c r="E288" i="8"/>
  <c r="E154" i="14" s="1"/>
  <c r="D288" i="8"/>
  <c r="D154" i="14" s="1"/>
  <c r="G287" i="8"/>
  <c r="G58" i="14" s="1"/>
  <c r="F287" i="8"/>
  <c r="F58" i="14" s="1"/>
  <c r="E287" i="8"/>
  <c r="E58" i="14" s="1"/>
  <c r="D287" i="8"/>
  <c r="D58" i="14" s="1"/>
  <c r="G239" i="14"/>
  <c r="F239" i="14"/>
  <c r="E239" i="14"/>
  <c r="D239" i="14"/>
  <c r="L283" i="8"/>
  <c r="Q281" i="8"/>
  <c r="Q283" i="8" s="1"/>
  <c r="P281" i="8"/>
  <c r="P283" i="8" s="1"/>
  <c r="O281" i="8"/>
  <c r="O283" i="8" s="1"/>
  <c r="N281" i="8"/>
  <c r="N283" i="8" s="1"/>
  <c r="M281" i="8"/>
  <c r="M283" i="8" s="1"/>
  <c r="G276" i="8"/>
  <c r="G612" i="14" s="1"/>
  <c r="G275" i="8"/>
  <c r="G574" i="14" s="1"/>
  <c r="G273" i="8"/>
  <c r="G371" i="14" s="1"/>
  <c r="F273" i="8"/>
  <c r="F371" i="14" s="1"/>
  <c r="E273" i="8"/>
  <c r="E371" i="14" s="1"/>
  <c r="D273" i="8"/>
  <c r="D371" i="14" s="1"/>
  <c r="G271" i="8"/>
  <c r="G42" i="14" s="1"/>
  <c r="F271" i="8"/>
  <c r="F42" i="14" s="1"/>
  <c r="E271" i="8"/>
  <c r="E42" i="14" s="1"/>
  <c r="D271" i="8"/>
  <c r="D42" i="14" s="1"/>
  <c r="G270" i="8"/>
  <c r="G211" i="14" s="1"/>
  <c r="F270" i="8"/>
  <c r="F211" i="14" s="1"/>
  <c r="E270" i="8"/>
  <c r="E211" i="14" s="1"/>
  <c r="D270" i="8"/>
  <c r="D211" i="14" s="1"/>
  <c r="G269" i="8"/>
  <c r="G9" i="14" s="1"/>
  <c r="F269" i="8"/>
  <c r="E269" i="8"/>
  <c r="E9" i="14" s="1"/>
  <c r="D269" i="8"/>
  <c r="D9" i="14" s="1"/>
  <c r="G268" i="8"/>
  <c r="G305" i="14" s="1"/>
  <c r="F268" i="8"/>
  <c r="F305" i="14" s="1"/>
  <c r="E268" i="8"/>
  <c r="E305" i="14" s="1"/>
  <c r="D268" i="8"/>
  <c r="D305" i="14" s="1"/>
  <c r="G267" i="8"/>
  <c r="G512" i="14" s="1"/>
  <c r="F267" i="8"/>
  <c r="F512" i="14" s="1"/>
  <c r="E267" i="8"/>
  <c r="E512" i="14" s="1"/>
  <c r="D267" i="8"/>
  <c r="D512" i="14" s="1"/>
  <c r="G266" i="8"/>
  <c r="G389" i="14" s="1"/>
  <c r="F266" i="8"/>
  <c r="F389" i="14" s="1"/>
  <c r="E266" i="8"/>
  <c r="E389" i="14" s="1"/>
  <c r="D266" i="8"/>
  <c r="D389" i="14" s="1"/>
  <c r="G265" i="8"/>
  <c r="G102" i="14" s="1"/>
  <c r="F265" i="8"/>
  <c r="F102" i="14" s="1"/>
  <c r="E265" i="8"/>
  <c r="E102" i="14" s="1"/>
  <c r="D265" i="8"/>
  <c r="D102" i="14" s="1"/>
  <c r="G264" i="8"/>
  <c r="G176" i="14" s="1"/>
  <c r="F264" i="8"/>
  <c r="E264" i="8"/>
  <c r="E176" i="14" s="1"/>
  <c r="D264" i="8"/>
  <c r="D176" i="14" s="1"/>
  <c r="G263" i="8"/>
  <c r="G255" i="14" s="1"/>
  <c r="F263" i="8"/>
  <c r="F255" i="14" s="1"/>
  <c r="E263" i="8"/>
  <c r="E255" i="14" s="1"/>
  <c r="D263" i="8"/>
  <c r="D255" i="14" s="1"/>
  <c r="G262" i="8"/>
  <c r="G275" i="14" s="1"/>
  <c r="F262" i="8"/>
  <c r="F275" i="14" s="1"/>
  <c r="E262" i="8"/>
  <c r="E275" i="14" s="1"/>
  <c r="D262" i="8"/>
  <c r="D275" i="14" s="1"/>
  <c r="G261" i="8"/>
  <c r="G153" i="14" s="1"/>
  <c r="F261" i="8"/>
  <c r="F153" i="14" s="1"/>
  <c r="E261" i="8"/>
  <c r="E153" i="14" s="1"/>
  <c r="D261" i="8"/>
  <c r="D153" i="14" s="1"/>
  <c r="G254" i="8"/>
  <c r="G610" i="14" s="1"/>
  <c r="G253" i="8"/>
  <c r="G572" i="14" s="1"/>
  <c r="G252" i="8"/>
  <c r="G175" i="14" s="1"/>
  <c r="F252" i="8"/>
  <c r="F175" i="14" s="1"/>
  <c r="E252" i="8"/>
  <c r="E175" i="14" s="1"/>
  <c r="D252" i="8"/>
  <c r="D175" i="14" s="1"/>
  <c r="G251" i="8"/>
  <c r="G469" i="14" s="1"/>
  <c r="G470" i="14" s="1"/>
  <c r="F251" i="8"/>
  <c r="F469" i="14" s="1"/>
  <c r="F470" i="14" s="1"/>
  <c r="E251" i="8"/>
  <c r="E469" i="14" s="1"/>
  <c r="E470" i="14" s="1"/>
  <c r="D251" i="8"/>
  <c r="D469" i="14" s="1"/>
  <c r="D470" i="14" s="1"/>
  <c r="G250" i="8"/>
  <c r="F250" i="8"/>
  <c r="E250" i="8"/>
  <c r="D250" i="8"/>
  <c r="J242" i="8"/>
  <c r="G240" i="8"/>
  <c r="G39" i="14" s="1"/>
  <c r="F240" i="8"/>
  <c r="F39" i="14" s="1"/>
  <c r="D240" i="8"/>
  <c r="D39" i="14" s="1"/>
  <c r="J239" i="8"/>
  <c r="J238" i="8"/>
  <c r="J237" i="8"/>
  <c r="G303" i="14"/>
  <c r="F303" i="14"/>
  <c r="E303" i="14"/>
  <c r="D303" i="14"/>
  <c r="A236" i="8"/>
  <c r="F497" i="14"/>
  <c r="D497" i="14"/>
  <c r="G228" i="8"/>
  <c r="G570" i="14" s="1"/>
  <c r="G227" i="8"/>
  <c r="G209" i="14" s="1"/>
  <c r="F227" i="8"/>
  <c r="F209" i="14" s="1"/>
  <c r="E227" i="8"/>
  <c r="E209" i="14" s="1"/>
  <c r="D227" i="8"/>
  <c r="D209" i="14" s="1"/>
  <c r="G226" i="8"/>
  <c r="G40" i="14" s="1"/>
  <c r="F226" i="8"/>
  <c r="F40" i="14" s="1"/>
  <c r="E226" i="8"/>
  <c r="E40" i="14" s="1"/>
  <c r="D226" i="8"/>
  <c r="D40" i="14" s="1"/>
  <c r="G225" i="8"/>
  <c r="F225" i="8"/>
  <c r="F302" i="14" s="1"/>
  <c r="E225" i="8"/>
  <c r="E302" i="14" s="1"/>
  <c r="D225" i="8"/>
  <c r="D302" i="14" s="1"/>
  <c r="F224" i="8"/>
  <c r="F485" i="14" s="1"/>
  <c r="E224" i="8"/>
  <c r="E485" i="14" s="1"/>
  <c r="D224" i="8"/>
  <c r="D485" i="14" s="1"/>
  <c r="G607" i="14"/>
  <c r="G569" i="14"/>
  <c r="G510" i="14"/>
  <c r="F510" i="14"/>
  <c r="E510" i="14"/>
  <c r="D510" i="14"/>
  <c r="G539" i="14"/>
  <c r="F539" i="14"/>
  <c r="E539" i="14"/>
  <c r="D539" i="14"/>
  <c r="G444" i="14"/>
  <c r="F444" i="14"/>
  <c r="E444" i="14"/>
  <c r="D444" i="14"/>
  <c r="G38" i="14"/>
  <c r="F38" i="14"/>
  <c r="E38" i="14"/>
  <c r="D38" i="14"/>
  <c r="G272" i="14"/>
  <c r="F272" i="14"/>
  <c r="E272" i="14"/>
  <c r="D272" i="14"/>
  <c r="G301" i="14"/>
  <c r="F301" i="14"/>
  <c r="E301" i="14"/>
  <c r="D301" i="14"/>
  <c r="G199" i="8"/>
  <c r="G606" i="14" s="1"/>
  <c r="G198" i="8"/>
  <c r="G568" i="14" s="1"/>
  <c r="F196" i="8"/>
  <c r="F483" i="14" s="1"/>
  <c r="E196" i="8"/>
  <c r="E483" i="14" s="1"/>
  <c r="D196" i="8"/>
  <c r="D483" i="14" s="1"/>
  <c r="G195" i="8"/>
  <c r="G37" i="14" s="1"/>
  <c r="F195" i="8"/>
  <c r="F37" i="14" s="1"/>
  <c r="E195" i="8"/>
  <c r="E37" i="14" s="1"/>
  <c r="D195" i="8"/>
  <c r="D37" i="14" s="1"/>
  <c r="G194" i="8"/>
  <c r="G300" i="14" s="1"/>
  <c r="F194" i="8"/>
  <c r="F300" i="14" s="1"/>
  <c r="E194" i="8"/>
  <c r="E300" i="14" s="1"/>
  <c r="D194" i="8"/>
  <c r="D300" i="14" s="1"/>
  <c r="G193" i="8"/>
  <c r="G271" i="14" s="1"/>
  <c r="F193" i="8"/>
  <c r="F271" i="14" s="1"/>
  <c r="E193" i="8"/>
  <c r="E271" i="14" s="1"/>
  <c r="D193" i="8"/>
  <c r="D271" i="14" s="1"/>
  <c r="M187" i="8"/>
  <c r="M189" i="8" s="1"/>
  <c r="G605" i="14" s="1"/>
  <c r="L187" i="8"/>
  <c r="L189" i="8" s="1"/>
  <c r="G567" i="14" s="1"/>
  <c r="G183" i="8"/>
  <c r="G443" i="14" s="1"/>
  <c r="F183" i="8"/>
  <c r="F443" i="14" s="1"/>
  <c r="E183" i="8"/>
  <c r="E443" i="14" s="1"/>
  <c r="D183" i="8"/>
  <c r="D443" i="14" s="1"/>
  <c r="G182" i="8"/>
  <c r="G388" i="14" s="1"/>
  <c r="F182" i="8"/>
  <c r="F388" i="14" s="1"/>
  <c r="E182" i="8"/>
  <c r="E388" i="14" s="1"/>
  <c r="D182" i="8"/>
  <c r="D388" i="14" s="1"/>
  <c r="G181" i="8"/>
  <c r="G72" i="14" s="1"/>
  <c r="F181" i="8"/>
  <c r="F72" i="14" s="1"/>
  <c r="E181" i="8"/>
  <c r="E72" i="14" s="1"/>
  <c r="D181" i="8"/>
  <c r="D72" i="14" s="1"/>
  <c r="G180" i="8"/>
  <c r="G509" i="14" s="1"/>
  <c r="F180" i="8"/>
  <c r="F509" i="14" s="1"/>
  <c r="E180" i="8"/>
  <c r="E509" i="14" s="1"/>
  <c r="D180" i="8"/>
  <c r="D509" i="14" s="1"/>
  <c r="G179" i="8"/>
  <c r="G270" i="14" s="1"/>
  <c r="F179" i="8"/>
  <c r="F270" i="14" s="1"/>
  <c r="E179" i="8"/>
  <c r="E270" i="14" s="1"/>
  <c r="D179" i="8"/>
  <c r="D270" i="14" s="1"/>
  <c r="G178" i="8"/>
  <c r="F178" i="8"/>
  <c r="E178" i="8"/>
  <c r="D178" i="8"/>
  <c r="G177" i="8"/>
  <c r="F177" i="8"/>
  <c r="E177" i="8"/>
  <c r="D177" i="8"/>
  <c r="H176" i="8"/>
  <c r="H552" i="14" s="1"/>
  <c r="H553" i="14" s="1"/>
  <c r="G176" i="8"/>
  <c r="G552" i="14" s="1"/>
  <c r="G553" i="14" s="1"/>
  <c r="F176" i="8"/>
  <c r="F552" i="14" s="1"/>
  <c r="F553" i="14" s="1"/>
  <c r="E176" i="8"/>
  <c r="E552" i="14" s="1"/>
  <c r="E553" i="14" s="1"/>
  <c r="D176" i="8"/>
  <c r="D552" i="14" s="1"/>
  <c r="D553" i="14" s="1"/>
  <c r="C176" i="8"/>
  <c r="C552" i="14" s="1"/>
  <c r="C553" i="14" s="1"/>
  <c r="B174" i="8"/>
  <c r="G173" i="8"/>
  <c r="F173" i="8"/>
  <c r="F92" i="14" s="1"/>
  <c r="E173" i="8"/>
  <c r="E92" i="14" s="1"/>
  <c r="D173" i="8"/>
  <c r="D92" i="14" s="1"/>
  <c r="G172" i="8"/>
  <c r="F172" i="8"/>
  <c r="F36" i="14" s="1"/>
  <c r="E172" i="8"/>
  <c r="E36" i="14" s="1"/>
  <c r="D172" i="8"/>
  <c r="D36" i="14" s="1"/>
  <c r="F171" i="8"/>
  <c r="F482" i="14" s="1"/>
  <c r="E171" i="8"/>
  <c r="E482" i="14" s="1"/>
  <c r="D171" i="8"/>
  <c r="D482" i="14" s="1"/>
  <c r="G170" i="8"/>
  <c r="F170" i="8"/>
  <c r="F402" i="14" s="1"/>
  <c r="E170" i="8"/>
  <c r="E402" i="14" s="1"/>
  <c r="D170" i="8"/>
  <c r="D402" i="14" s="1"/>
  <c r="G254" i="14"/>
  <c r="F254" i="14"/>
  <c r="E254" i="14"/>
  <c r="D254" i="14"/>
  <c r="G299" i="14"/>
  <c r="F299" i="14"/>
  <c r="E299" i="14"/>
  <c r="D299" i="14"/>
  <c r="G166" i="8"/>
  <c r="F166" i="8"/>
  <c r="F238" i="14" s="1"/>
  <c r="E166" i="8"/>
  <c r="E238" i="14" s="1"/>
  <c r="D166" i="8"/>
  <c r="D238" i="14" s="1"/>
  <c r="N164" i="8"/>
  <c r="N166" i="8" s="1"/>
  <c r="G566" i="14" s="1"/>
  <c r="L164" i="8"/>
  <c r="S161" i="8"/>
  <c r="S163" i="8" s="1"/>
  <c r="H206" i="14" s="1"/>
  <c r="R161" i="8"/>
  <c r="R163" i="8" s="1"/>
  <c r="G206" i="14" s="1"/>
  <c r="Q161" i="8"/>
  <c r="Q163" i="8" s="1"/>
  <c r="P161" i="8"/>
  <c r="P163" i="8" s="1"/>
  <c r="O161" i="8"/>
  <c r="O163" i="8" s="1"/>
  <c r="D206" i="14" s="1"/>
  <c r="N161" i="8"/>
  <c r="N163" i="8" s="1"/>
  <c r="C206" i="14" s="1"/>
  <c r="G508" i="14"/>
  <c r="F508" i="14"/>
  <c r="E508" i="14"/>
  <c r="D508" i="14"/>
  <c r="G237" i="14"/>
  <c r="F237" i="14"/>
  <c r="E237" i="14"/>
  <c r="D237" i="14"/>
  <c r="D525" i="14"/>
  <c r="G269" i="14"/>
  <c r="F269" i="14"/>
  <c r="E269" i="14"/>
  <c r="D269" i="14"/>
  <c r="S151" i="8"/>
  <c r="R151" i="8"/>
  <c r="Q151" i="8"/>
  <c r="P151" i="8"/>
  <c r="O151" i="8"/>
  <c r="N151" i="8"/>
  <c r="J151" i="8"/>
  <c r="S150" i="8"/>
  <c r="R150" i="8"/>
  <c r="Q150" i="8"/>
  <c r="P150" i="8"/>
  <c r="O150" i="8"/>
  <c r="G144" i="8"/>
  <c r="G603" i="14" s="1"/>
  <c r="G143" i="8"/>
  <c r="G565" i="14" s="1"/>
  <c r="G142" i="8"/>
  <c r="G8" i="14" s="1"/>
  <c r="F142" i="8"/>
  <c r="E142" i="8"/>
  <c r="E8" i="14" s="1"/>
  <c r="D142" i="8"/>
  <c r="D8" i="14" s="1"/>
  <c r="G141" i="8"/>
  <c r="G173" i="14" s="1"/>
  <c r="F141" i="8"/>
  <c r="F173" i="14" s="1"/>
  <c r="E141" i="8"/>
  <c r="E173" i="14" s="1"/>
  <c r="D141" i="8"/>
  <c r="D173" i="14" s="1"/>
  <c r="F140" i="8"/>
  <c r="F480" i="14" s="1"/>
  <c r="E140" i="8"/>
  <c r="E480" i="14" s="1"/>
  <c r="D140" i="8"/>
  <c r="D480" i="14" s="1"/>
  <c r="G139" i="8"/>
  <c r="G35" i="14" s="1"/>
  <c r="F139" i="8"/>
  <c r="F35" i="14" s="1"/>
  <c r="E139" i="8"/>
  <c r="E35" i="14" s="1"/>
  <c r="D139" i="8"/>
  <c r="D35" i="14" s="1"/>
  <c r="G138" i="8"/>
  <c r="G297" i="14" s="1"/>
  <c r="F138" i="8"/>
  <c r="F297" i="14" s="1"/>
  <c r="E138" i="8"/>
  <c r="E297" i="14" s="1"/>
  <c r="D138" i="8"/>
  <c r="D297" i="14" s="1"/>
  <c r="G137" i="8"/>
  <c r="G236" i="14" s="1"/>
  <c r="F137" i="8"/>
  <c r="F236" i="14" s="1"/>
  <c r="E137" i="8"/>
  <c r="E236" i="14" s="1"/>
  <c r="D137" i="8"/>
  <c r="D236" i="14" s="1"/>
  <c r="G136" i="8"/>
  <c r="G137" i="14" s="1"/>
  <c r="F136" i="8"/>
  <c r="F137" i="14" s="1"/>
  <c r="D136" i="8"/>
  <c r="D137" i="14" s="1"/>
  <c r="A136" i="8"/>
  <c r="G135" i="8"/>
  <c r="G205" i="14" s="1"/>
  <c r="F135" i="8"/>
  <c r="F205" i="14" s="1"/>
  <c r="E135" i="8"/>
  <c r="E205" i="14" s="1"/>
  <c r="D135" i="8"/>
  <c r="D205" i="14" s="1"/>
  <c r="G129" i="8"/>
  <c r="G602" i="14" s="1"/>
  <c r="G128" i="8"/>
  <c r="G564" i="14" s="1"/>
  <c r="F127" i="8"/>
  <c r="F478" i="14" s="1"/>
  <c r="E127" i="8"/>
  <c r="E478" i="14" s="1"/>
  <c r="D127" i="8"/>
  <c r="D478" i="14" s="1"/>
  <c r="G126" i="8"/>
  <c r="G507" i="14" s="1"/>
  <c r="F126" i="8"/>
  <c r="F507" i="14" s="1"/>
  <c r="E126" i="8"/>
  <c r="E507" i="14" s="1"/>
  <c r="D126" i="8"/>
  <c r="D507" i="14" s="1"/>
  <c r="G125" i="8"/>
  <c r="G441" i="14" s="1"/>
  <c r="F125" i="8"/>
  <c r="E125" i="8"/>
  <c r="E441" i="14" s="1"/>
  <c r="D125" i="8"/>
  <c r="D441" i="14" s="1"/>
  <c r="J124" i="8"/>
  <c r="G123" i="8"/>
  <c r="G386" i="14" s="1"/>
  <c r="F123" i="8"/>
  <c r="F386" i="14" s="1"/>
  <c r="E123" i="8"/>
  <c r="E386" i="14" s="1"/>
  <c r="D123" i="8"/>
  <c r="D386" i="14" s="1"/>
  <c r="G122" i="8"/>
  <c r="G71" i="14" s="1"/>
  <c r="F122" i="8"/>
  <c r="E122" i="8"/>
  <c r="E71" i="14" s="1"/>
  <c r="D122" i="8"/>
  <c r="D71" i="14" s="1"/>
  <c r="G121" i="8"/>
  <c r="G56" i="14" s="1"/>
  <c r="F121" i="8"/>
  <c r="E121" i="8"/>
  <c r="E56" i="14" s="1"/>
  <c r="D121" i="8"/>
  <c r="D56" i="14" s="1"/>
  <c r="G120" i="8"/>
  <c r="G537" i="14" s="1"/>
  <c r="F120" i="8"/>
  <c r="E120" i="8"/>
  <c r="E537" i="14" s="1"/>
  <c r="D120" i="8"/>
  <c r="D537" i="14" s="1"/>
  <c r="G119" i="8"/>
  <c r="G327" i="14" s="1"/>
  <c r="F119" i="8"/>
  <c r="E119" i="8"/>
  <c r="E327" i="14" s="1"/>
  <c r="D119" i="8"/>
  <c r="D327" i="14" s="1"/>
  <c r="G118" i="8"/>
  <c r="G268" i="14" s="1"/>
  <c r="F118" i="8"/>
  <c r="E118" i="8"/>
  <c r="E268" i="14" s="1"/>
  <c r="D118" i="8"/>
  <c r="D268" i="14" s="1"/>
  <c r="G117" i="8"/>
  <c r="G204" i="14" s="1"/>
  <c r="F117" i="8"/>
  <c r="F204" i="14" s="1"/>
  <c r="E117" i="8"/>
  <c r="E204" i="14" s="1"/>
  <c r="D117" i="8"/>
  <c r="D204" i="14" s="1"/>
  <c r="G116" i="8"/>
  <c r="G34" i="14" s="1"/>
  <c r="F116" i="8"/>
  <c r="F34" i="14" s="1"/>
  <c r="E116" i="8"/>
  <c r="E34" i="14" s="1"/>
  <c r="D116" i="8"/>
  <c r="D34" i="14" s="1"/>
  <c r="G115" i="8"/>
  <c r="G135" i="14" s="1"/>
  <c r="F115" i="8"/>
  <c r="F135" i="14" s="1"/>
  <c r="D115" i="8"/>
  <c r="D135" i="14" s="1"/>
  <c r="G113" i="8"/>
  <c r="G405" i="14" s="1"/>
  <c r="F113" i="8"/>
  <c r="F405" i="14" s="1"/>
  <c r="E113" i="8"/>
  <c r="E405" i="14" s="1"/>
  <c r="D113" i="8"/>
  <c r="D405" i="14" s="1"/>
  <c r="G112" i="8"/>
  <c r="G235" i="14" s="1"/>
  <c r="F112" i="8"/>
  <c r="F235" i="14" s="1"/>
  <c r="E112" i="8"/>
  <c r="E235" i="14" s="1"/>
  <c r="D112" i="8"/>
  <c r="D235" i="14" s="1"/>
  <c r="G111" i="8"/>
  <c r="G151" i="14" s="1"/>
  <c r="F111" i="8"/>
  <c r="F151" i="14" s="1"/>
  <c r="D111" i="8"/>
  <c r="D151" i="14" s="1"/>
  <c r="G110" i="8"/>
  <c r="G296" i="14" s="1"/>
  <c r="F110" i="8"/>
  <c r="F296" i="14" s="1"/>
  <c r="E110" i="8"/>
  <c r="E296" i="14" s="1"/>
  <c r="D110" i="8"/>
  <c r="D296" i="14" s="1"/>
  <c r="G103" i="8"/>
  <c r="G563" i="14" s="1"/>
  <c r="G102" i="8"/>
  <c r="G128" i="14" s="1"/>
  <c r="F102" i="8"/>
  <c r="F128" i="14" s="1"/>
  <c r="D102" i="8"/>
  <c r="D128" i="14" s="1"/>
  <c r="G101" i="8"/>
  <c r="G384" i="14" s="1"/>
  <c r="F101" i="8"/>
  <c r="F384" i="14" s="1"/>
  <c r="E101" i="8"/>
  <c r="E384" i="14" s="1"/>
  <c r="D101" i="8"/>
  <c r="D384" i="14" s="1"/>
  <c r="G33" i="14"/>
  <c r="F33" i="14"/>
  <c r="E33" i="14"/>
  <c r="D33" i="14"/>
  <c r="G99" i="8"/>
  <c r="G506" i="14" s="1"/>
  <c r="E99" i="8"/>
  <c r="E506" i="14" s="1"/>
  <c r="D99" i="8"/>
  <c r="D506" i="14" s="1"/>
  <c r="G97" i="8"/>
  <c r="G336" i="14" s="1"/>
  <c r="F97" i="8"/>
  <c r="F336" i="14" s="1"/>
  <c r="E97" i="8"/>
  <c r="E336" i="14" s="1"/>
  <c r="D97" i="8"/>
  <c r="D336" i="14" s="1"/>
  <c r="G96" i="8"/>
  <c r="G86" i="14" s="1"/>
  <c r="E96" i="8"/>
  <c r="E86" i="14" s="1"/>
  <c r="D96" i="8"/>
  <c r="D86" i="14" s="1"/>
  <c r="E95" i="8"/>
  <c r="E479" i="14" s="1"/>
  <c r="D95" i="8"/>
  <c r="D479" i="14" s="1"/>
  <c r="G94" i="8"/>
  <c r="E94" i="8"/>
  <c r="E295" i="14" s="1"/>
  <c r="D94" i="8"/>
  <c r="D295" i="14" s="1"/>
  <c r="G88" i="8"/>
  <c r="G599" i="14" s="1"/>
  <c r="G87" i="8"/>
  <c r="G561" i="14" s="1"/>
  <c r="G86" i="8"/>
  <c r="F86" i="8"/>
  <c r="E86" i="8"/>
  <c r="D86" i="8"/>
  <c r="G84" i="8"/>
  <c r="G202" i="14" s="1"/>
  <c r="F84" i="8"/>
  <c r="F202" i="14" s="1"/>
  <c r="E84" i="8"/>
  <c r="E202" i="14" s="1"/>
  <c r="D84" i="8"/>
  <c r="D202" i="14" s="1"/>
  <c r="F83" i="8"/>
  <c r="F476" i="14" s="1"/>
  <c r="E83" i="8"/>
  <c r="E476" i="14" s="1"/>
  <c r="D83" i="8"/>
  <c r="D476" i="14" s="1"/>
  <c r="G82" i="8"/>
  <c r="G293" i="14" s="1"/>
  <c r="F82" i="8"/>
  <c r="F293" i="14" s="1"/>
  <c r="E82" i="8"/>
  <c r="E293" i="14" s="1"/>
  <c r="D82" i="8"/>
  <c r="D293" i="14" s="1"/>
  <c r="G72" i="8"/>
  <c r="G505" i="14" s="1"/>
  <c r="F72" i="8"/>
  <c r="F505" i="14" s="1"/>
  <c r="E72" i="8"/>
  <c r="D72" i="8"/>
  <c r="D505" i="14" s="1"/>
  <c r="G71" i="8"/>
  <c r="G368" i="14" s="1"/>
  <c r="F71" i="8"/>
  <c r="F368" i="14" s="1"/>
  <c r="E71" i="8"/>
  <c r="D71" i="8"/>
  <c r="D368" i="14" s="1"/>
  <c r="B71" i="8"/>
  <c r="G70" i="8"/>
  <c r="G172" i="14" s="1"/>
  <c r="F70" i="8"/>
  <c r="F172" i="14" s="1"/>
  <c r="E70" i="8"/>
  <c r="D70" i="8"/>
  <c r="D172" i="14" s="1"/>
  <c r="G69" i="8"/>
  <c r="G69" i="14" s="1"/>
  <c r="F69" i="8"/>
  <c r="F69" i="14" s="1"/>
  <c r="E69" i="8"/>
  <c r="D69" i="8"/>
  <c r="D69" i="14" s="1"/>
  <c r="G67" i="8"/>
  <c r="G136" i="14" s="1"/>
  <c r="F67" i="8"/>
  <c r="F136" i="14" s="1"/>
  <c r="D67" i="8"/>
  <c r="D136" i="14" s="1"/>
  <c r="J66" i="8"/>
  <c r="F65" i="8"/>
  <c r="F477" i="14" s="1"/>
  <c r="E65" i="8"/>
  <c r="E477" i="14" s="1"/>
  <c r="D65" i="8"/>
  <c r="D477" i="14" s="1"/>
  <c r="G64" i="8"/>
  <c r="F64" i="8"/>
  <c r="E64" i="8"/>
  <c r="D64" i="8"/>
  <c r="J63" i="8"/>
  <c r="G598" i="14"/>
  <c r="G560" i="14"/>
  <c r="G53" i="8"/>
  <c r="G536" i="14" s="1"/>
  <c r="F53" i="8"/>
  <c r="F536" i="14" s="1"/>
  <c r="E53" i="8"/>
  <c r="E536" i="14" s="1"/>
  <c r="D53" i="8"/>
  <c r="D536" i="14" s="1"/>
  <c r="G52" i="8"/>
  <c r="G99" i="14" s="1"/>
  <c r="F52" i="8"/>
  <c r="F99" i="14" s="1"/>
  <c r="E52" i="8"/>
  <c r="E99" i="14" s="1"/>
  <c r="D52" i="8"/>
  <c r="D99" i="14" s="1"/>
  <c r="G51" i="8"/>
  <c r="G32" i="14" s="1"/>
  <c r="F51" i="8"/>
  <c r="F32" i="14" s="1"/>
  <c r="E51" i="8"/>
  <c r="E32" i="14" s="1"/>
  <c r="D51" i="8"/>
  <c r="D32" i="14" s="1"/>
  <c r="G50" i="8"/>
  <c r="G201" i="14" s="1"/>
  <c r="F50" i="8"/>
  <c r="E50" i="8"/>
  <c r="E201" i="14" s="1"/>
  <c r="D50" i="8"/>
  <c r="D201" i="14" s="1"/>
  <c r="G49" i="8"/>
  <c r="G292" i="14" s="1"/>
  <c r="F49" i="8"/>
  <c r="F292" i="14" s="1"/>
  <c r="E49" i="8"/>
  <c r="E292" i="14" s="1"/>
  <c r="D49" i="8"/>
  <c r="D292" i="14" s="1"/>
  <c r="G48" i="8"/>
  <c r="G233" i="14" s="1"/>
  <c r="F48" i="8"/>
  <c r="F233" i="14" s="1"/>
  <c r="E48" i="8"/>
  <c r="E233" i="14" s="1"/>
  <c r="D48" i="8"/>
  <c r="D233" i="14" s="1"/>
  <c r="A48" i="8"/>
  <c r="A49" i="8" s="1"/>
  <c r="A50" i="8" s="1"/>
  <c r="A51" i="8" s="1"/>
  <c r="A52" i="8" s="1"/>
  <c r="A53" i="8" s="1"/>
  <c r="G47" i="8"/>
  <c r="F47" i="8"/>
  <c r="E47" i="8"/>
  <c r="D47" i="8"/>
  <c r="R40" i="8"/>
  <c r="G597" i="14" s="1"/>
  <c r="P39" i="8"/>
  <c r="R39" i="8" s="1"/>
  <c r="G559" i="14" s="1"/>
  <c r="G534" i="14"/>
  <c r="F534" i="14"/>
  <c r="E534" i="14"/>
  <c r="D534" i="14"/>
  <c r="G37" i="8"/>
  <c r="G504" i="14" s="1"/>
  <c r="F37" i="8"/>
  <c r="F504" i="14" s="1"/>
  <c r="E37" i="8"/>
  <c r="E504" i="14" s="1"/>
  <c r="D37" i="8"/>
  <c r="D504" i="14" s="1"/>
  <c r="G35" i="8"/>
  <c r="G200" i="14" s="1"/>
  <c r="F35" i="8"/>
  <c r="F200" i="14" s="1"/>
  <c r="E35" i="8"/>
  <c r="E200" i="14" s="1"/>
  <c r="D35" i="8"/>
  <c r="D200" i="14" s="1"/>
  <c r="G33" i="8"/>
  <c r="G85" i="14" s="1"/>
  <c r="F33" i="8"/>
  <c r="F85" i="14" s="1"/>
  <c r="E33" i="8"/>
  <c r="E85" i="14" s="1"/>
  <c r="D33" i="8"/>
  <c r="D85" i="14" s="1"/>
  <c r="Q31" i="8"/>
  <c r="Q34" i="8" s="1"/>
  <c r="H34" i="8" s="1"/>
  <c r="H31" i="14" s="1"/>
  <c r="P31" i="8"/>
  <c r="P34" i="8" s="1"/>
  <c r="G34" i="8" s="1"/>
  <c r="G31" i="14" s="1"/>
  <c r="O31" i="8"/>
  <c r="O34" i="8" s="1"/>
  <c r="F34" i="8" s="1"/>
  <c r="F31" i="14" s="1"/>
  <c r="N31" i="8"/>
  <c r="N34" i="8" s="1"/>
  <c r="E34" i="8" s="1"/>
  <c r="E31" i="14" s="1"/>
  <c r="M31" i="8"/>
  <c r="M34" i="8" s="1"/>
  <c r="D34" i="8" s="1"/>
  <c r="D31" i="14" s="1"/>
  <c r="L31" i="8"/>
  <c r="L34" i="8" s="1"/>
  <c r="C34" i="8" s="1"/>
  <c r="C31" i="14" s="1"/>
  <c r="G31" i="8"/>
  <c r="G401" i="14" s="1"/>
  <c r="F31" i="8"/>
  <c r="F401" i="14" s="1"/>
  <c r="E31" i="8"/>
  <c r="E401" i="14" s="1"/>
  <c r="D31" i="8"/>
  <c r="D401" i="14" s="1"/>
  <c r="G30" i="8"/>
  <c r="G148" i="14" s="1"/>
  <c r="F30" i="8"/>
  <c r="F148" i="14" s="1"/>
  <c r="D30" i="8"/>
  <c r="D148" i="14" s="1"/>
  <c r="J29" i="8"/>
  <c r="G28" i="8"/>
  <c r="G266" i="14" s="1"/>
  <c r="F28" i="8"/>
  <c r="F266" i="14" s="1"/>
  <c r="E28" i="8"/>
  <c r="E266" i="14" s="1"/>
  <c r="D28" i="8"/>
  <c r="D266" i="14" s="1"/>
  <c r="L27" i="8"/>
  <c r="L29" i="8" s="1"/>
  <c r="C291" i="14" s="1"/>
  <c r="G596" i="14"/>
  <c r="C22" i="8"/>
  <c r="H21" i="8"/>
  <c r="G21" i="8"/>
  <c r="G558" i="14" s="1"/>
  <c r="F21" i="8"/>
  <c r="E21" i="8"/>
  <c r="D21" i="8"/>
  <c r="C21" i="8"/>
  <c r="Q19" i="8"/>
  <c r="Q22" i="8" s="1"/>
  <c r="H343" i="14" s="1"/>
  <c r="P19" i="8"/>
  <c r="P22" i="8" s="1"/>
  <c r="G343" i="14" s="1"/>
  <c r="N19" i="8"/>
  <c r="N22" i="8" s="1"/>
  <c r="E343" i="14" s="1"/>
  <c r="M19" i="8"/>
  <c r="M22" i="8" s="1"/>
  <c r="D343" i="14" s="1"/>
  <c r="L19" i="8"/>
  <c r="L22" i="8" s="1"/>
  <c r="C343" i="14" s="1"/>
  <c r="G326" i="14"/>
  <c r="F326" i="14"/>
  <c r="E326" i="14"/>
  <c r="D326" i="14"/>
  <c r="G439" i="14"/>
  <c r="F439" i="14"/>
  <c r="E439" i="14"/>
  <c r="D439" i="14"/>
  <c r="Q16" i="8"/>
  <c r="Q18" i="8" s="1"/>
  <c r="H112" i="14" s="1"/>
  <c r="P16" i="8"/>
  <c r="P18" i="8" s="1"/>
  <c r="G112" i="14" s="1"/>
  <c r="G30" i="14"/>
  <c r="F30" i="14"/>
  <c r="E30" i="14"/>
  <c r="D30" i="14"/>
  <c r="F12" i="8"/>
  <c r="F400" i="14" s="1"/>
  <c r="E12" i="8"/>
  <c r="E400" i="14" s="1"/>
  <c r="D12" i="8"/>
  <c r="D400" i="14" s="1"/>
  <c r="G11" i="8"/>
  <c r="G425" i="14" s="1"/>
  <c r="F11" i="8"/>
  <c r="F425" i="14" s="1"/>
  <c r="E11" i="8"/>
  <c r="E425" i="14" s="1"/>
  <c r="D11" i="8"/>
  <c r="D425" i="14" s="1"/>
  <c r="A11" i="8"/>
  <c r="Q10" i="8"/>
  <c r="Q12" i="8" s="1"/>
  <c r="H290" i="14" s="1"/>
  <c r="P10" i="8"/>
  <c r="P12" i="8" s="1"/>
  <c r="G290" i="14" s="1"/>
  <c r="O10" i="8"/>
  <c r="O12" i="8" s="1"/>
  <c r="F290" i="14" s="1"/>
  <c r="N10" i="8"/>
  <c r="N12" i="8" s="1"/>
  <c r="E290" i="14" s="1"/>
  <c r="M10" i="8"/>
  <c r="M12" i="8" s="1"/>
  <c r="D290" i="14" s="1"/>
  <c r="Q9" i="8"/>
  <c r="Q15" i="8" s="1"/>
  <c r="P9" i="8"/>
  <c r="P15" i="8" s="1"/>
  <c r="N9" i="8"/>
  <c r="N15" i="8" s="1"/>
  <c r="M9" i="8"/>
  <c r="M15" i="8" s="1"/>
  <c r="A9" i="8"/>
  <c r="H191" i="7"/>
  <c r="H172" i="13" s="1"/>
  <c r="G191" i="7"/>
  <c r="G172" i="13" s="1"/>
  <c r="F191" i="7"/>
  <c r="F172" i="13" s="1"/>
  <c r="E191" i="7"/>
  <c r="E172" i="13" s="1"/>
  <c r="D191" i="7"/>
  <c r="D172" i="13" s="1"/>
  <c r="C191" i="7"/>
  <c r="C172" i="13" s="1"/>
  <c r="H190" i="7"/>
  <c r="H123" i="13" s="1"/>
  <c r="G190" i="7"/>
  <c r="G123" i="13" s="1"/>
  <c r="F190" i="7"/>
  <c r="E190" i="7"/>
  <c r="E123" i="13" s="1"/>
  <c r="D190" i="7"/>
  <c r="D123" i="13" s="1"/>
  <c r="C190" i="7"/>
  <c r="C123" i="13" s="1"/>
  <c r="H189" i="7"/>
  <c r="H142" i="13" s="1"/>
  <c r="G189" i="7"/>
  <c r="G142" i="13" s="1"/>
  <c r="E189" i="7"/>
  <c r="E142" i="13" s="1"/>
  <c r="D189" i="7"/>
  <c r="D142" i="13" s="1"/>
  <c r="C189" i="7"/>
  <c r="C142" i="13" s="1"/>
  <c r="H188" i="7"/>
  <c r="H196" i="13" s="1"/>
  <c r="G188" i="7"/>
  <c r="G196" i="13" s="1"/>
  <c r="F188" i="7"/>
  <c r="F196" i="13" s="1"/>
  <c r="E188" i="7"/>
  <c r="E196" i="13" s="1"/>
  <c r="D188" i="7"/>
  <c r="D196" i="13" s="1"/>
  <c r="C188" i="7"/>
  <c r="C196" i="13" s="1"/>
  <c r="H187" i="7"/>
  <c r="H43" i="13" s="1"/>
  <c r="G187" i="7"/>
  <c r="G43" i="13" s="1"/>
  <c r="F187" i="7"/>
  <c r="F43" i="13" s="1"/>
  <c r="E187" i="7"/>
  <c r="E43" i="13" s="1"/>
  <c r="D187" i="7"/>
  <c r="D43" i="13" s="1"/>
  <c r="C187" i="7"/>
  <c r="C43" i="13" s="1"/>
  <c r="H186" i="7"/>
  <c r="H35" i="13" s="1"/>
  <c r="H36" i="13" s="1"/>
  <c r="H217" i="13" s="1"/>
  <c r="G186" i="7"/>
  <c r="G35" i="13" s="1"/>
  <c r="G36" i="13" s="1"/>
  <c r="G217" i="13" s="1"/>
  <c r="F186" i="7"/>
  <c r="F35" i="13" s="1"/>
  <c r="F36" i="13" s="1"/>
  <c r="F217" i="13" s="1"/>
  <c r="E186" i="7"/>
  <c r="E35" i="13" s="1"/>
  <c r="E36" i="13" s="1"/>
  <c r="E217" i="13" s="1"/>
  <c r="D186" i="7"/>
  <c r="D35" i="13" s="1"/>
  <c r="D36" i="13" s="1"/>
  <c r="D217" i="13" s="1"/>
  <c r="C186" i="7"/>
  <c r="C35" i="13" s="1"/>
  <c r="C36" i="13" s="1"/>
  <c r="C217" i="13" s="1"/>
  <c r="H185" i="7"/>
  <c r="H164" i="13" s="1"/>
  <c r="H165" i="13" s="1"/>
  <c r="H235" i="13" s="1"/>
  <c r="G185" i="7"/>
  <c r="G164" i="13" s="1"/>
  <c r="G165" i="13" s="1"/>
  <c r="G235" i="13" s="1"/>
  <c r="E185" i="7"/>
  <c r="E164" i="13" s="1"/>
  <c r="E165" i="13" s="1"/>
  <c r="E235" i="13" s="1"/>
  <c r="D185" i="7"/>
  <c r="D164" i="13" s="1"/>
  <c r="D165" i="13" s="1"/>
  <c r="D235" i="13" s="1"/>
  <c r="C185" i="7"/>
  <c r="C164" i="13" s="1"/>
  <c r="C165" i="13" s="1"/>
  <c r="C235" i="13" s="1"/>
  <c r="H184" i="7"/>
  <c r="H99" i="13" s="1"/>
  <c r="G184" i="7"/>
  <c r="G99" i="13" s="1"/>
  <c r="E184" i="7"/>
  <c r="E99" i="13" s="1"/>
  <c r="D184" i="7"/>
  <c r="D99" i="13" s="1"/>
  <c r="C184" i="7"/>
  <c r="C99" i="13" s="1"/>
  <c r="H183" i="7"/>
  <c r="H70" i="13" s="1"/>
  <c r="G183" i="7"/>
  <c r="G70" i="13" s="1"/>
  <c r="F183" i="7"/>
  <c r="F70" i="13" s="1"/>
  <c r="E70" i="13"/>
  <c r="D70" i="13"/>
  <c r="C183" i="7"/>
  <c r="C70" i="13" s="1"/>
  <c r="H182" i="7"/>
  <c r="H85" i="13" s="1"/>
  <c r="G182" i="7"/>
  <c r="F182" i="7"/>
  <c r="F85" i="13" s="1"/>
  <c r="E85" i="13"/>
  <c r="D85" i="13"/>
  <c r="C182" i="7"/>
  <c r="C85" i="13" s="1"/>
  <c r="H181" i="7"/>
  <c r="G181" i="7"/>
  <c r="F181" i="7"/>
  <c r="F78" i="13" s="1"/>
  <c r="C181" i="7"/>
  <c r="H175" i="7"/>
  <c r="H116" i="13" s="1"/>
  <c r="G175" i="7"/>
  <c r="G176" i="7" s="1"/>
  <c r="G221" i="7" s="1"/>
  <c r="J221" i="7" s="1"/>
  <c r="K221" i="7" s="1"/>
  <c r="F175" i="7"/>
  <c r="F116" i="13" s="1"/>
  <c r="E175" i="7"/>
  <c r="E116" i="13" s="1"/>
  <c r="D175" i="7"/>
  <c r="D116" i="13" s="1"/>
  <c r="C175" i="7"/>
  <c r="C176" i="7" s="1"/>
  <c r="H168" i="7"/>
  <c r="G168" i="7"/>
  <c r="F168" i="7"/>
  <c r="E168" i="7"/>
  <c r="D168" i="7"/>
  <c r="C168" i="7"/>
  <c r="H167" i="7"/>
  <c r="H195" i="13" s="1"/>
  <c r="G167" i="7"/>
  <c r="G195" i="13" s="1"/>
  <c r="F167" i="7"/>
  <c r="F195" i="13" s="1"/>
  <c r="E167" i="7"/>
  <c r="E195" i="13" s="1"/>
  <c r="D167" i="7"/>
  <c r="D195" i="13" s="1"/>
  <c r="C167" i="7"/>
  <c r="C195" i="13" s="1"/>
  <c r="H166" i="7"/>
  <c r="G166" i="7"/>
  <c r="F166" i="7"/>
  <c r="E166" i="7"/>
  <c r="D166" i="7"/>
  <c r="D170" i="7" s="1"/>
  <c r="C166" i="7"/>
  <c r="H160" i="7"/>
  <c r="H59" i="13" s="1"/>
  <c r="G160" i="7"/>
  <c r="G59" i="13" s="1"/>
  <c r="F160" i="7"/>
  <c r="F59" i="13" s="1"/>
  <c r="E160" i="7"/>
  <c r="E59" i="13" s="1"/>
  <c r="D160" i="7"/>
  <c r="D59" i="13" s="1"/>
  <c r="C160" i="7"/>
  <c r="C59" i="13" s="1"/>
  <c r="H159" i="7"/>
  <c r="G159" i="7"/>
  <c r="G134" i="13" s="1"/>
  <c r="F159" i="7"/>
  <c r="F134" i="13" s="1"/>
  <c r="E159" i="7"/>
  <c r="E134" i="13" s="1"/>
  <c r="D159" i="7"/>
  <c r="C159" i="7"/>
  <c r="C134" i="13" s="1"/>
  <c r="H153" i="7"/>
  <c r="H115" i="13" s="1"/>
  <c r="G153" i="7"/>
  <c r="F153" i="7"/>
  <c r="F115" i="13" s="1"/>
  <c r="E153" i="7"/>
  <c r="E115" i="13" s="1"/>
  <c r="D153" i="7"/>
  <c r="D115" i="13" s="1"/>
  <c r="C153" i="7"/>
  <c r="H152" i="7"/>
  <c r="H42" i="13" s="1"/>
  <c r="G152" i="7"/>
  <c r="G42" i="13" s="1"/>
  <c r="F152" i="7"/>
  <c r="E152" i="7"/>
  <c r="E42" i="13" s="1"/>
  <c r="D152" i="7"/>
  <c r="D42" i="13" s="1"/>
  <c r="C152" i="7"/>
  <c r="C42" i="13" s="1"/>
  <c r="H151" i="7"/>
  <c r="H98" i="13" s="1"/>
  <c r="G151" i="7"/>
  <c r="G98" i="13" s="1"/>
  <c r="F151" i="7"/>
  <c r="F98" i="13" s="1"/>
  <c r="E151" i="7"/>
  <c r="E98" i="13" s="1"/>
  <c r="D151" i="7"/>
  <c r="D98" i="13" s="1"/>
  <c r="C151" i="7"/>
  <c r="C98" i="13" s="1"/>
  <c r="H150" i="7"/>
  <c r="H84" i="13" s="1"/>
  <c r="G150" i="7"/>
  <c r="G84" i="13" s="1"/>
  <c r="F150" i="7"/>
  <c r="F84" i="13" s="1"/>
  <c r="E150" i="7"/>
  <c r="E84" i="13" s="1"/>
  <c r="D150" i="7"/>
  <c r="D84" i="13" s="1"/>
  <c r="C150" i="7"/>
  <c r="C84" i="13" s="1"/>
  <c r="H149" i="7"/>
  <c r="H77" i="13" s="1"/>
  <c r="G149" i="7"/>
  <c r="G77" i="13" s="1"/>
  <c r="F149" i="7"/>
  <c r="F77" i="13" s="1"/>
  <c r="E149" i="7"/>
  <c r="E77" i="13" s="1"/>
  <c r="D149" i="7"/>
  <c r="D77" i="13" s="1"/>
  <c r="C149" i="7"/>
  <c r="C77" i="13" s="1"/>
  <c r="H148" i="7"/>
  <c r="H68" i="13" s="1"/>
  <c r="G148" i="7"/>
  <c r="G68" i="13" s="1"/>
  <c r="F148" i="7"/>
  <c r="E148" i="7"/>
  <c r="E68" i="13" s="1"/>
  <c r="D148" i="7"/>
  <c r="D68" i="13" s="1"/>
  <c r="C148" i="7"/>
  <c r="C68" i="13" s="1"/>
  <c r="H142" i="7"/>
  <c r="H158" i="13" s="1"/>
  <c r="G142" i="7"/>
  <c r="G158" i="13" s="1"/>
  <c r="F142" i="7"/>
  <c r="E142" i="7"/>
  <c r="E158" i="13" s="1"/>
  <c r="D142" i="7"/>
  <c r="D158" i="13" s="1"/>
  <c r="C142" i="7"/>
  <c r="C158" i="13" s="1"/>
  <c r="H140" i="7"/>
  <c r="G140" i="7"/>
  <c r="F140" i="7"/>
  <c r="F143" i="7" s="1"/>
  <c r="E140" i="7"/>
  <c r="D140" i="7"/>
  <c r="C140" i="7"/>
  <c r="H134" i="7"/>
  <c r="H132" i="13" s="1"/>
  <c r="G134" i="7"/>
  <c r="G132" i="13" s="1"/>
  <c r="F134" i="7"/>
  <c r="E134" i="7"/>
  <c r="E132" i="13" s="1"/>
  <c r="D134" i="7"/>
  <c r="D132" i="13" s="1"/>
  <c r="C134" i="7"/>
  <c r="H133" i="7"/>
  <c r="G133" i="7"/>
  <c r="F133" i="7"/>
  <c r="E133" i="7"/>
  <c r="D133" i="7"/>
  <c r="C133" i="7"/>
  <c r="C151" i="13" s="1"/>
  <c r="H113" i="7"/>
  <c r="H60" i="13" s="1"/>
  <c r="G113" i="7"/>
  <c r="G60" i="13" s="1"/>
  <c r="F113" i="7"/>
  <c r="E113" i="7"/>
  <c r="E60" i="13" s="1"/>
  <c r="D113" i="7"/>
  <c r="D60" i="13" s="1"/>
  <c r="C113" i="7"/>
  <c r="C60" i="13" s="1"/>
  <c r="H111" i="7"/>
  <c r="H114" i="7" s="1"/>
  <c r="G111" i="7"/>
  <c r="F111" i="7"/>
  <c r="E111" i="7"/>
  <c r="D111" i="7"/>
  <c r="C111" i="7"/>
  <c r="C49" i="13" s="1"/>
  <c r="H105" i="7"/>
  <c r="F105" i="7"/>
  <c r="F106" i="7" s="1"/>
  <c r="E105" i="7"/>
  <c r="H99" i="7"/>
  <c r="H180" i="13" s="1"/>
  <c r="G99" i="7"/>
  <c r="G180" i="13" s="1"/>
  <c r="F99" i="7"/>
  <c r="F180" i="13" s="1"/>
  <c r="E99" i="7"/>
  <c r="E180" i="13" s="1"/>
  <c r="D99" i="7"/>
  <c r="D180" i="13" s="1"/>
  <c r="C99" i="7"/>
  <c r="C180" i="13" s="1"/>
  <c r="H58" i="13"/>
  <c r="G58" i="13"/>
  <c r="F58" i="13"/>
  <c r="D58" i="13"/>
  <c r="C58" i="13"/>
  <c r="H93" i="7"/>
  <c r="G93" i="7"/>
  <c r="F93" i="7"/>
  <c r="E93" i="7"/>
  <c r="D93" i="7"/>
  <c r="B88" i="7"/>
  <c r="H82" i="7"/>
  <c r="G82" i="7"/>
  <c r="F82" i="7"/>
  <c r="F83" i="7" s="1"/>
  <c r="E82" i="7"/>
  <c r="D105" i="13"/>
  <c r="C105" i="13"/>
  <c r="B76" i="7"/>
  <c r="H70" i="7"/>
  <c r="H71" i="7" s="1"/>
  <c r="H135" i="13" s="1"/>
  <c r="G70" i="7"/>
  <c r="G71" i="7" s="1"/>
  <c r="G135" i="13" s="1"/>
  <c r="E70" i="7"/>
  <c r="E71" i="7" s="1"/>
  <c r="E135" i="13" s="1"/>
  <c r="D70" i="7"/>
  <c r="D71" i="7" s="1"/>
  <c r="D135" i="13" s="1"/>
  <c r="C71" i="7"/>
  <c r="H58" i="7"/>
  <c r="H150" i="13" s="1"/>
  <c r="G58" i="7"/>
  <c r="G150" i="13" s="1"/>
  <c r="F58" i="7"/>
  <c r="F150" i="13" s="1"/>
  <c r="E58" i="7"/>
  <c r="E150" i="13" s="1"/>
  <c r="D58" i="7"/>
  <c r="D150" i="13" s="1"/>
  <c r="C58" i="7"/>
  <c r="C150" i="13" s="1"/>
  <c r="H57" i="7"/>
  <c r="G57" i="7"/>
  <c r="F57" i="7"/>
  <c r="E57" i="7"/>
  <c r="D57" i="7"/>
  <c r="C57" i="7"/>
  <c r="H51" i="7"/>
  <c r="H57" i="13" s="1"/>
  <c r="G51" i="7"/>
  <c r="G57" i="13" s="1"/>
  <c r="F51" i="7"/>
  <c r="F57" i="13" s="1"/>
  <c r="E51" i="7"/>
  <c r="E57" i="13" s="1"/>
  <c r="D51" i="7"/>
  <c r="D57" i="13" s="1"/>
  <c r="C51" i="7"/>
  <c r="C57" i="13" s="1"/>
  <c r="H50" i="7"/>
  <c r="H114" i="13" s="1"/>
  <c r="G50" i="7"/>
  <c r="G114" i="13" s="1"/>
  <c r="F50" i="7"/>
  <c r="F114" i="13" s="1"/>
  <c r="E50" i="7"/>
  <c r="E114" i="13" s="1"/>
  <c r="D50" i="7"/>
  <c r="D114" i="13" s="1"/>
  <c r="C50" i="7"/>
  <c r="C114" i="13" s="1"/>
  <c r="H49" i="7"/>
  <c r="H41" i="13" s="1"/>
  <c r="G49" i="7"/>
  <c r="G41" i="13" s="1"/>
  <c r="F49" i="7"/>
  <c r="E49" i="7"/>
  <c r="E41" i="13" s="1"/>
  <c r="D49" i="7"/>
  <c r="D41" i="13" s="1"/>
  <c r="C49" i="7"/>
  <c r="C41" i="13" s="1"/>
  <c r="H48" i="7"/>
  <c r="H97" i="13" s="1"/>
  <c r="G48" i="7"/>
  <c r="G97" i="13" s="1"/>
  <c r="F48" i="7"/>
  <c r="E48" i="7"/>
  <c r="E97" i="13" s="1"/>
  <c r="D48" i="7"/>
  <c r="D97" i="13" s="1"/>
  <c r="C48" i="7"/>
  <c r="C97" i="13" s="1"/>
  <c r="H47" i="7"/>
  <c r="H67" i="13" s="1"/>
  <c r="G47" i="7"/>
  <c r="G67" i="13" s="1"/>
  <c r="F47" i="7"/>
  <c r="F67" i="13" s="1"/>
  <c r="E47" i="7"/>
  <c r="E67" i="13" s="1"/>
  <c r="D47" i="7"/>
  <c r="D67" i="13" s="1"/>
  <c r="C47" i="7"/>
  <c r="C67" i="13" s="1"/>
  <c r="H46" i="7"/>
  <c r="H122" i="13" s="1"/>
  <c r="G46" i="7"/>
  <c r="G122" i="13" s="1"/>
  <c r="F46" i="7"/>
  <c r="F122" i="13" s="1"/>
  <c r="E46" i="7"/>
  <c r="E122" i="13" s="1"/>
  <c r="D46" i="7"/>
  <c r="D122" i="13" s="1"/>
  <c r="C46" i="7"/>
  <c r="C122" i="13" s="1"/>
  <c r="H45" i="7"/>
  <c r="G45" i="7"/>
  <c r="F45" i="7"/>
  <c r="E45" i="7"/>
  <c r="D45" i="7"/>
  <c r="C45" i="7"/>
  <c r="C9" i="13" s="1"/>
  <c r="C10" i="13" s="1"/>
  <c r="C216" i="13" s="1"/>
  <c r="H38" i="7"/>
  <c r="H170" i="13" s="1"/>
  <c r="G38" i="7"/>
  <c r="G170" i="13" s="1"/>
  <c r="F38" i="7"/>
  <c r="F170" i="13" s="1"/>
  <c r="E38" i="7"/>
  <c r="E170" i="13" s="1"/>
  <c r="D38" i="7"/>
  <c r="D170" i="13" s="1"/>
  <c r="C38" i="7"/>
  <c r="C170" i="13" s="1"/>
  <c r="H37" i="7"/>
  <c r="H178" i="13" s="1"/>
  <c r="G37" i="7"/>
  <c r="G178" i="13" s="1"/>
  <c r="F37" i="7"/>
  <c r="E37" i="7"/>
  <c r="E178" i="13" s="1"/>
  <c r="D37" i="7"/>
  <c r="D178" i="13" s="1"/>
  <c r="C37" i="7"/>
  <c r="C178" i="13" s="1"/>
  <c r="H36" i="7"/>
  <c r="G36" i="7"/>
  <c r="F36" i="7"/>
  <c r="E36" i="7"/>
  <c r="E39" i="7" s="1"/>
  <c r="D36" i="7"/>
  <c r="C36" i="7"/>
  <c r="C149" i="13" s="1"/>
  <c r="H30" i="7"/>
  <c r="H131" i="13" s="1"/>
  <c r="G30" i="7"/>
  <c r="G131" i="13" s="1"/>
  <c r="F30" i="7"/>
  <c r="F131" i="13" s="1"/>
  <c r="E30" i="7"/>
  <c r="E131" i="13" s="1"/>
  <c r="D30" i="7"/>
  <c r="D131" i="13" s="1"/>
  <c r="C30" i="7"/>
  <c r="C131" i="13" s="1"/>
  <c r="H29" i="7"/>
  <c r="G29" i="7"/>
  <c r="F29" i="7"/>
  <c r="F31" i="7" s="1"/>
  <c r="E29" i="7"/>
  <c r="D29" i="7"/>
  <c r="C29" i="7"/>
  <c r="H130" i="13"/>
  <c r="G130" i="13"/>
  <c r="E130" i="13"/>
  <c r="D130" i="13"/>
  <c r="C130" i="13"/>
  <c r="G24" i="7"/>
  <c r="F24" i="7"/>
  <c r="E24" i="7"/>
  <c r="G16" i="7"/>
  <c r="G203" i="13" s="1"/>
  <c r="H15" i="7"/>
  <c r="H129" i="13" s="1"/>
  <c r="G15" i="7"/>
  <c r="G129" i="13" s="1"/>
  <c r="F15" i="7"/>
  <c r="F129" i="13" s="1"/>
  <c r="D15" i="7"/>
  <c r="D129" i="13" s="1"/>
  <c r="C15" i="7"/>
  <c r="C129" i="13" s="1"/>
  <c r="H14" i="7"/>
  <c r="H187" i="13" s="1"/>
  <c r="G14" i="7"/>
  <c r="G187" i="13" s="1"/>
  <c r="F14" i="7"/>
  <c r="F187" i="13" s="1"/>
  <c r="E14" i="7"/>
  <c r="E187" i="13" s="1"/>
  <c r="D14" i="7"/>
  <c r="D187" i="13" s="1"/>
  <c r="C14" i="7"/>
  <c r="C187" i="13" s="1"/>
  <c r="H13" i="7"/>
  <c r="H113" i="13" s="1"/>
  <c r="G13" i="7"/>
  <c r="G113" i="13" s="1"/>
  <c r="F13" i="7"/>
  <c r="F113" i="13" s="1"/>
  <c r="E13" i="7"/>
  <c r="E113" i="13" s="1"/>
  <c r="D13" i="7"/>
  <c r="D113" i="13" s="1"/>
  <c r="C13" i="7"/>
  <c r="C113" i="13" s="1"/>
  <c r="H12" i="7"/>
  <c r="H66" i="13" s="1"/>
  <c r="G12" i="7"/>
  <c r="G66" i="13" s="1"/>
  <c r="F12" i="7"/>
  <c r="F66" i="13" s="1"/>
  <c r="E12" i="7"/>
  <c r="E66" i="13" s="1"/>
  <c r="D12" i="7"/>
  <c r="D66" i="13" s="1"/>
  <c r="C12" i="7"/>
  <c r="C66" i="13" s="1"/>
  <c r="H11" i="7"/>
  <c r="H157" i="13" s="1"/>
  <c r="G11" i="7"/>
  <c r="G157" i="13" s="1"/>
  <c r="F11" i="7"/>
  <c r="F157" i="13" s="1"/>
  <c r="E11" i="7"/>
  <c r="E157" i="13" s="1"/>
  <c r="D11" i="7"/>
  <c r="D157" i="13" s="1"/>
  <c r="C11" i="7"/>
  <c r="C157" i="13" s="1"/>
  <c r="H10" i="7"/>
  <c r="H28" i="13" s="1"/>
  <c r="H29" i="13" s="1"/>
  <c r="G10" i="7"/>
  <c r="G28" i="13" s="1"/>
  <c r="G29" i="13" s="1"/>
  <c r="F10" i="7"/>
  <c r="F28" i="13" s="1"/>
  <c r="F29" i="13" s="1"/>
  <c r="E10" i="7"/>
  <c r="E28" i="13" s="1"/>
  <c r="E29" i="13" s="1"/>
  <c r="D10" i="7"/>
  <c r="D28" i="13" s="1"/>
  <c r="D29" i="13" s="1"/>
  <c r="C10" i="7"/>
  <c r="C28" i="13" s="1"/>
  <c r="C29" i="13" s="1"/>
  <c r="B10" i="7"/>
  <c r="H9" i="7"/>
  <c r="G9" i="7"/>
  <c r="F9" i="7"/>
  <c r="E9" i="7"/>
  <c r="D9" i="7"/>
  <c r="C9" i="7"/>
  <c r="C16" i="13" s="1"/>
  <c r="C17" i="13" s="1"/>
  <c r="C218" i="13" s="1"/>
  <c r="B9" i="7"/>
  <c r="H813" i="6"/>
  <c r="F813" i="6"/>
  <c r="E813" i="6"/>
  <c r="E869" i="6" s="1"/>
  <c r="D813" i="6"/>
  <c r="C813" i="6"/>
  <c r="C869" i="6" s="1"/>
  <c r="H868" i="6"/>
  <c r="I27" i="16" s="1"/>
  <c r="A776" i="6"/>
  <c r="H770" i="6"/>
  <c r="E770" i="6"/>
  <c r="D770" i="6"/>
  <c r="D867" i="6" s="1"/>
  <c r="C770" i="6"/>
  <c r="C867" i="6" s="1"/>
  <c r="H761" i="6"/>
  <c r="H865" i="6" s="1"/>
  <c r="E761" i="6"/>
  <c r="D761" i="6"/>
  <c r="D865" i="6" s="1"/>
  <c r="C761" i="6"/>
  <c r="D51" i="10" s="1"/>
  <c r="D38" i="16" s="1"/>
  <c r="H742" i="6"/>
  <c r="H864" i="6" s="1"/>
  <c r="E864" i="6"/>
  <c r="D742" i="6"/>
  <c r="D864" i="6" s="1"/>
  <c r="C742" i="6"/>
  <c r="D49" i="10" s="1"/>
  <c r="D35" i="16" s="1"/>
  <c r="A731" i="6"/>
  <c r="A732" i="6" s="1"/>
  <c r="A733" i="6" s="1"/>
  <c r="A734" i="6" s="1"/>
  <c r="H724" i="6"/>
  <c r="H863" i="6" s="1"/>
  <c r="I22" i="16" s="1"/>
  <c r="E724" i="6"/>
  <c r="D724" i="6"/>
  <c r="D863" i="6" s="1"/>
  <c r="C724" i="6"/>
  <c r="D31" i="10" s="1"/>
  <c r="H701" i="6"/>
  <c r="H862" i="6" s="1"/>
  <c r="G701" i="6"/>
  <c r="F701" i="6"/>
  <c r="E701" i="6"/>
  <c r="E862" i="6" s="1"/>
  <c r="D701" i="6"/>
  <c r="D862" i="6" s="1"/>
  <c r="C701" i="6"/>
  <c r="D13" i="10" s="1"/>
  <c r="D9" i="16" s="1"/>
  <c r="H685" i="6"/>
  <c r="H14" i="16"/>
  <c r="E685" i="6"/>
  <c r="E861" i="6" s="1"/>
  <c r="D685" i="6"/>
  <c r="D861" i="6" s="1"/>
  <c r="D20" i="10"/>
  <c r="H668" i="6"/>
  <c r="H866" i="6" s="1"/>
  <c r="E866" i="6"/>
  <c r="D668" i="6"/>
  <c r="D866" i="6" s="1"/>
  <c r="C668" i="6"/>
  <c r="C866" i="6" s="1"/>
  <c r="D70" i="10" s="1"/>
  <c r="D50" i="16" s="1"/>
  <c r="H651" i="6"/>
  <c r="E651" i="6"/>
  <c r="D651" i="6"/>
  <c r="D860" i="6" s="1"/>
  <c r="C651" i="6"/>
  <c r="D19" i="10" s="1"/>
  <c r="H636" i="6"/>
  <c r="H859" i="6" s="1"/>
  <c r="G636" i="6"/>
  <c r="E636" i="6"/>
  <c r="E859" i="6" s="1"/>
  <c r="D636" i="6"/>
  <c r="D859" i="6" s="1"/>
  <c r="C636" i="6"/>
  <c r="C859" i="6" s="1"/>
  <c r="D69" i="10" s="1"/>
  <c r="D49" i="16" s="1"/>
  <c r="H625" i="6"/>
  <c r="H858" i="6" s="1"/>
  <c r="G858" i="6"/>
  <c r="F625" i="6"/>
  <c r="E625" i="6"/>
  <c r="D625" i="6"/>
  <c r="D858" i="6" s="1"/>
  <c r="C625" i="6"/>
  <c r="D41" i="10" s="1"/>
  <c r="D29" i="16" s="1"/>
  <c r="H612" i="6"/>
  <c r="H857" i="6" s="1"/>
  <c r="E857" i="6"/>
  <c r="D612" i="6"/>
  <c r="D857" i="6" s="1"/>
  <c r="C612" i="6"/>
  <c r="D63" i="10" s="1"/>
  <c r="D46" i="16" s="1"/>
  <c r="H856" i="6"/>
  <c r="E856" i="6"/>
  <c r="D856" i="6"/>
  <c r="C856" i="6"/>
  <c r="A585" i="6"/>
  <c r="H579" i="6"/>
  <c r="H855" i="6" s="1"/>
  <c r="G855" i="6"/>
  <c r="E579" i="6"/>
  <c r="D579" i="6"/>
  <c r="D855" i="6" s="1"/>
  <c r="C579" i="6"/>
  <c r="C855" i="6" s="1"/>
  <c r="D68" i="10" s="1"/>
  <c r="D48" i="16" s="1"/>
  <c r="H560" i="6"/>
  <c r="H854" i="6" s="1"/>
  <c r="E560" i="6"/>
  <c r="D560" i="6"/>
  <c r="D854" i="6" s="1"/>
  <c r="C560" i="6"/>
  <c r="C854" i="6" s="1"/>
  <c r="H542" i="6"/>
  <c r="H853" i="6" s="1"/>
  <c r="I26" i="16" s="1"/>
  <c r="E853" i="6"/>
  <c r="D542" i="6"/>
  <c r="D853" i="6" s="1"/>
  <c r="C542" i="6"/>
  <c r="C853" i="6" s="1"/>
  <c r="D26" i="16" s="1"/>
  <c r="H852" i="6"/>
  <c r="E852" i="6"/>
  <c r="D852" i="6"/>
  <c r="C852" i="6"/>
  <c r="H507" i="6"/>
  <c r="H851" i="6" s="1"/>
  <c r="E507" i="6"/>
  <c r="D507" i="6"/>
  <c r="D851" i="6" s="1"/>
  <c r="C507" i="6"/>
  <c r="A501" i="6"/>
  <c r="H850" i="6"/>
  <c r="I24" i="16" s="1"/>
  <c r="E850" i="6"/>
  <c r="D850" i="6"/>
  <c r="D36" i="10"/>
  <c r="H472" i="6"/>
  <c r="G849" i="6"/>
  <c r="E472" i="6"/>
  <c r="D472" i="6"/>
  <c r="D849" i="6" s="1"/>
  <c r="C472" i="6"/>
  <c r="D40" i="10" s="1"/>
  <c r="H458" i="6"/>
  <c r="E458" i="6"/>
  <c r="D458" i="6"/>
  <c r="D848" i="6" s="1"/>
  <c r="C458" i="6"/>
  <c r="D12" i="16" s="1"/>
  <c r="H440" i="6"/>
  <c r="H847" i="6" s="1"/>
  <c r="E847" i="6"/>
  <c r="D440" i="6"/>
  <c r="D847" i="6" s="1"/>
  <c r="C440" i="6"/>
  <c r="D48" i="10" s="1"/>
  <c r="D34" i="16" s="1"/>
  <c r="A433" i="6"/>
  <c r="A431" i="6"/>
  <c r="H425" i="6"/>
  <c r="H846" i="6" s="1"/>
  <c r="I23" i="16" s="1"/>
  <c r="E846" i="6"/>
  <c r="D425" i="6"/>
  <c r="D846" i="6" s="1"/>
  <c r="C425" i="6"/>
  <c r="D33" i="10" s="1"/>
  <c r="H845" i="6"/>
  <c r="E845" i="6"/>
  <c r="D845" i="6"/>
  <c r="C845" i="6"/>
  <c r="H843" i="6"/>
  <c r="I21" i="16" s="1"/>
  <c r="E843" i="6"/>
  <c r="D843" i="6"/>
  <c r="D30" i="10"/>
  <c r="H356" i="6"/>
  <c r="H842" i="6" s="1"/>
  <c r="I17" i="16" s="1"/>
  <c r="G356" i="6"/>
  <c r="F356" i="6"/>
  <c r="E356" i="6"/>
  <c r="E842" i="6" s="1"/>
  <c r="D356" i="6"/>
  <c r="D842" i="6" s="1"/>
  <c r="C356" i="6"/>
  <c r="D24" i="10" s="1"/>
  <c r="H335" i="6"/>
  <c r="H841" i="6" s="1"/>
  <c r="I19" i="16" s="1"/>
  <c r="G335" i="6"/>
  <c r="F335" i="6"/>
  <c r="E335" i="6"/>
  <c r="E841" i="6" s="1"/>
  <c r="D335" i="6"/>
  <c r="D841" i="6" s="1"/>
  <c r="C335" i="6"/>
  <c r="D27" i="10" s="1"/>
  <c r="H840" i="6"/>
  <c r="E840" i="6"/>
  <c r="D840" i="6"/>
  <c r="D12" i="10"/>
  <c r="D8" i="16" s="1"/>
  <c r="H310" i="6"/>
  <c r="H839" i="6" s="1"/>
  <c r="E839" i="6"/>
  <c r="D310" i="6"/>
  <c r="D839" i="6" s="1"/>
  <c r="C310" i="6"/>
  <c r="C839" i="6" s="1"/>
  <c r="D72" i="10" s="1"/>
  <c r="D52" i="16" s="1"/>
  <c r="A302" i="6"/>
  <c r="A303" i="6" s="1"/>
  <c r="A304" i="6" s="1"/>
  <c r="H296" i="6"/>
  <c r="E838" i="6"/>
  <c r="D296" i="6"/>
  <c r="D838" i="6" s="1"/>
  <c r="C296" i="6"/>
  <c r="D17" i="10" s="1"/>
  <c r="H837" i="6"/>
  <c r="I25" i="16" s="1"/>
  <c r="E837" i="6"/>
  <c r="D837" i="6"/>
  <c r="D34" i="10"/>
  <c r="H836" i="6"/>
  <c r="D836" i="6"/>
  <c r="C836" i="6"/>
  <c r="H239" i="6"/>
  <c r="H835" i="6" s="1"/>
  <c r="I18" i="16" s="1"/>
  <c r="E835" i="6"/>
  <c r="D239" i="6"/>
  <c r="D835" i="6" s="1"/>
  <c r="C239" i="6"/>
  <c r="A234" i="6"/>
  <c r="A235" i="6" s="1"/>
  <c r="H834" i="6"/>
  <c r="E834" i="6"/>
  <c r="D834" i="6"/>
  <c r="C834" i="6"/>
  <c r="H833" i="6"/>
  <c r="E833" i="6"/>
  <c r="D833" i="6"/>
  <c r="C210" i="6"/>
  <c r="D42" i="10" s="1"/>
  <c r="D30" i="16" s="1"/>
  <c r="H202" i="6"/>
  <c r="E202" i="6"/>
  <c r="D202" i="6"/>
  <c r="D832" i="6" s="1"/>
  <c r="C202" i="6"/>
  <c r="D15" i="16" s="1"/>
  <c r="H187" i="6"/>
  <c r="H831" i="6" s="1"/>
  <c r="I40" i="16" s="1"/>
  <c r="G187" i="6"/>
  <c r="F187" i="6"/>
  <c r="E187" i="6"/>
  <c r="E831" i="6" s="1"/>
  <c r="D187" i="6"/>
  <c r="D831" i="6" s="1"/>
  <c r="C187" i="6"/>
  <c r="D56" i="10" s="1"/>
  <c r="H163" i="6"/>
  <c r="E830" i="6"/>
  <c r="D163" i="6"/>
  <c r="D830" i="6" s="1"/>
  <c r="C163" i="6"/>
  <c r="D10" i="16" s="1"/>
  <c r="H152" i="6"/>
  <c r="H829" i="6" s="1"/>
  <c r="G829" i="6"/>
  <c r="D57" i="12" s="1"/>
  <c r="E57" i="12" s="1"/>
  <c r="E152" i="6"/>
  <c r="D152" i="6"/>
  <c r="D829" i="6" s="1"/>
  <c r="C152" i="6"/>
  <c r="D57" i="10" s="1"/>
  <c r="D41" i="16" s="1"/>
  <c r="A143" i="6"/>
  <c r="H136" i="6"/>
  <c r="H828" i="6" s="1"/>
  <c r="F136" i="6"/>
  <c r="E136" i="6"/>
  <c r="D136" i="6"/>
  <c r="D828" i="6" s="1"/>
  <c r="C136" i="6"/>
  <c r="D11" i="10" s="1"/>
  <c r="D5" i="16" s="1"/>
  <c r="A124" i="6"/>
  <c r="A125" i="6" s="1"/>
  <c r="H118" i="6"/>
  <c r="H827" i="6" s="1"/>
  <c r="E827" i="6"/>
  <c r="D118" i="6"/>
  <c r="D827" i="6" s="1"/>
  <c r="C118" i="6"/>
  <c r="D50" i="10" s="1"/>
  <c r="D37" i="16" s="1"/>
  <c r="H98" i="6"/>
  <c r="H826" i="6" s="1"/>
  <c r="E826" i="6"/>
  <c r="D98" i="6"/>
  <c r="D826" i="6" s="1"/>
  <c r="C98" i="6"/>
  <c r="D45" i="10" s="1"/>
  <c r="D32" i="16" s="1"/>
  <c r="H85" i="6"/>
  <c r="H825" i="6" s="1"/>
  <c r="G85" i="6"/>
  <c r="F85" i="6"/>
  <c r="E85" i="6"/>
  <c r="E825" i="6" s="1"/>
  <c r="D85" i="6"/>
  <c r="D825" i="6" s="1"/>
  <c r="C85" i="6"/>
  <c r="A75" i="6"/>
  <c r="A76" i="6" s="1"/>
  <c r="A77" i="6" s="1"/>
  <c r="A78" i="6" s="1"/>
  <c r="A79" i="6" s="1"/>
  <c r="A80" i="6" s="1"/>
  <c r="H69" i="6"/>
  <c r="H824" i="6" s="1"/>
  <c r="E824" i="6"/>
  <c r="D69" i="6"/>
  <c r="D824" i="6" s="1"/>
  <c r="C69" i="6"/>
  <c r="D53" i="10" s="1"/>
  <c r="D36" i="16" s="1"/>
  <c r="A61" i="6"/>
  <c r="I20" i="16"/>
  <c r="G823" i="6"/>
  <c r="H20" i="16" s="1"/>
  <c r="E823" i="6"/>
  <c r="D823" i="6"/>
  <c r="C823" i="6"/>
  <c r="D20" i="16" s="1"/>
  <c r="H37" i="6"/>
  <c r="H822" i="6" s="1"/>
  <c r="G37" i="6"/>
  <c r="F37" i="6"/>
  <c r="E37" i="6"/>
  <c r="E822" i="6" s="1"/>
  <c r="D37" i="6"/>
  <c r="D822" i="6" s="1"/>
  <c r="C37" i="6"/>
  <c r="D8" i="10" s="1"/>
  <c r="D4" i="16" s="1"/>
  <c r="A32" i="6"/>
  <c r="A26" i="6"/>
  <c r="H821" i="6"/>
  <c r="F821" i="6"/>
  <c r="E821" i="6"/>
  <c r="D821" i="6"/>
  <c r="C821" i="6"/>
  <c r="A12" i="6"/>
  <c r="A9" i="6"/>
  <c r="A10" i="6" s="1"/>
  <c r="H233" i="5"/>
  <c r="H270" i="5" s="1"/>
  <c r="G233" i="5"/>
  <c r="E233" i="5"/>
  <c r="E270" i="5" s="1"/>
  <c r="D233" i="5"/>
  <c r="D270" i="5" s="1"/>
  <c r="C233" i="5"/>
  <c r="C270" i="5" s="1"/>
  <c r="C67" i="10" s="1"/>
  <c r="C47" i="16" s="1"/>
  <c r="H217" i="5"/>
  <c r="H269" i="5" s="1"/>
  <c r="G217" i="5"/>
  <c r="F217" i="5"/>
  <c r="E217" i="5"/>
  <c r="E269" i="5" s="1"/>
  <c r="D217" i="5"/>
  <c r="D269" i="5" s="1"/>
  <c r="C217" i="5"/>
  <c r="C37" i="10" s="1"/>
  <c r="H211" i="5"/>
  <c r="H268" i="5" s="1"/>
  <c r="G211" i="5"/>
  <c r="F211" i="5"/>
  <c r="E268" i="5"/>
  <c r="D211" i="5"/>
  <c r="D268" i="5" s="1"/>
  <c r="C211" i="5"/>
  <c r="C51" i="10" s="1"/>
  <c r="C38" i="16" s="1"/>
  <c r="H267" i="5"/>
  <c r="F267" i="5"/>
  <c r="E267" i="5"/>
  <c r="D267" i="5"/>
  <c r="C267" i="5"/>
  <c r="H194" i="5"/>
  <c r="H266" i="5" s="1"/>
  <c r="G194" i="5"/>
  <c r="C13" i="12" s="1"/>
  <c r="F194" i="5"/>
  <c r="E194" i="5"/>
  <c r="E266" i="5" s="1"/>
  <c r="D194" i="5"/>
  <c r="D266" i="5" s="1"/>
  <c r="C194" i="5"/>
  <c r="C266" i="5" s="1"/>
  <c r="H186" i="5"/>
  <c r="H126" i="7" s="1"/>
  <c r="G186" i="5"/>
  <c r="G126" i="7" s="1"/>
  <c r="F186" i="5"/>
  <c r="F126" i="7" s="1"/>
  <c r="E186" i="5"/>
  <c r="E126" i="7" s="1"/>
  <c r="D186" i="5"/>
  <c r="D126" i="7" s="1"/>
  <c r="C186" i="5"/>
  <c r="C126" i="7" s="1"/>
  <c r="H180" i="5"/>
  <c r="H264" i="5" s="1"/>
  <c r="G180" i="5"/>
  <c r="F180" i="5"/>
  <c r="E180" i="5"/>
  <c r="E264" i="5" s="1"/>
  <c r="D180" i="5"/>
  <c r="D264" i="5" s="1"/>
  <c r="C180" i="5"/>
  <c r="C63" i="10" s="1"/>
  <c r="C46" i="16" s="1"/>
  <c r="H170" i="5"/>
  <c r="H262" i="5" s="1"/>
  <c r="G170" i="5"/>
  <c r="G262" i="5" s="1"/>
  <c r="C35" i="12" s="1"/>
  <c r="F262" i="5"/>
  <c r="E262" i="5"/>
  <c r="D170" i="5"/>
  <c r="D262" i="5" s="1"/>
  <c r="C170" i="5"/>
  <c r="C262" i="5" s="1"/>
  <c r="C26" i="16" s="1"/>
  <c r="H163" i="5"/>
  <c r="H263" i="5" s="1"/>
  <c r="F263" i="5"/>
  <c r="E263" i="5"/>
  <c r="D163" i="5"/>
  <c r="D263" i="5" s="1"/>
  <c r="C163" i="5"/>
  <c r="C59" i="10" s="1"/>
  <c r="C43" i="16" s="1"/>
  <c r="H157" i="5"/>
  <c r="H261" i="5" s="1"/>
  <c r="G261" i="5"/>
  <c r="F261" i="5"/>
  <c r="E261" i="5"/>
  <c r="D157" i="5"/>
  <c r="D261" i="5" s="1"/>
  <c r="C157" i="5"/>
  <c r="C261" i="5" s="1"/>
  <c r="H260" i="5"/>
  <c r="F260" i="5"/>
  <c r="E260" i="5"/>
  <c r="D260" i="5"/>
  <c r="C36" i="10"/>
  <c r="H140" i="5"/>
  <c r="H65" i="7" s="1"/>
  <c r="H133" i="13" s="1"/>
  <c r="G259" i="5"/>
  <c r="F65" i="7"/>
  <c r="F133" i="13" s="1"/>
  <c r="E140" i="5"/>
  <c r="D140" i="5"/>
  <c r="D65" i="7" s="1"/>
  <c r="D133" i="13" s="1"/>
  <c r="C140" i="5"/>
  <c r="C259" i="5" s="1"/>
  <c r="H126" i="5"/>
  <c r="H258" i="5" s="1"/>
  <c r="F258" i="5"/>
  <c r="E258" i="5"/>
  <c r="D126" i="5"/>
  <c r="D258" i="5" s="1"/>
  <c r="C126" i="5"/>
  <c r="C33" i="10" s="1"/>
  <c r="H118" i="5"/>
  <c r="H256" i="5" s="1"/>
  <c r="F118" i="5"/>
  <c r="E118" i="5"/>
  <c r="E256" i="5" s="1"/>
  <c r="H112" i="5"/>
  <c r="H255" i="5" s="1"/>
  <c r="F255" i="5"/>
  <c r="E255" i="5"/>
  <c r="D112" i="5"/>
  <c r="D255" i="5" s="1"/>
  <c r="C30" i="10"/>
  <c r="H96" i="5"/>
  <c r="H253" i="5" s="1"/>
  <c r="C12" i="12"/>
  <c r="E253" i="5"/>
  <c r="D96" i="5"/>
  <c r="D253" i="5" s="1"/>
  <c r="C96" i="5"/>
  <c r="C12" i="10" s="1"/>
  <c r="C8" i="16" s="1"/>
  <c r="H90" i="5"/>
  <c r="H251" i="5" s="1"/>
  <c r="G90" i="5"/>
  <c r="G251" i="5" s="1"/>
  <c r="C72" i="12" s="1"/>
  <c r="F90" i="5"/>
  <c r="E90" i="5"/>
  <c r="E251" i="5" s="1"/>
  <c r="D90" i="5"/>
  <c r="D251" i="5" s="1"/>
  <c r="C90" i="5"/>
  <c r="C251" i="5" s="1"/>
  <c r="C72" i="10" s="1"/>
  <c r="C52" i="16" s="1"/>
  <c r="H84" i="5"/>
  <c r="H252" i="5" s="1"/>
  <c r="G84" i="5"/>
  <c r="G76" i="7" s="1"/>
  <c r="G77" i="7" s="1"/>
  <c r="F84" i="5"/>
  <c r="E84" i="5"/>
  <c r="E252" i="5" s="1"/>
  <c r="D252" i="5"/>
  <c r="C34" i="10"/>
  <c r="H78" i="5"/>
  <c r="H250" i="5" s="1"/>
  <c r="E250" i="5"/>
  <c r="D78" i="5"/>
  <c r="D250" i="5" s="1"/>
  <c r="C42" i="16"/>
  <c r="H72" i="5"/>
  <c r="H249" i="5" s="1"/>
  <c r="G249" i="5"/>
  <c r="C23" i="12" s="1"/>
  <c r="F249" i="5"/>
  <c r="E249" i="5"/>
  <c r="D72" i="5"/>
  <c r="D249" i="5" s="1"/>
  <c r="C72" i="5"/>
  <c r="C23" i="10" s="1"/>
  <c r="H65" i="5"/>
  <c r="H248" i="5" s="1"/>
  <c r="G65" i="5"/>
  <c r="F65" i="5"/>
  <c r="E65" i="5"/>
  <c r="E248" i="5" s="1"/>
  <c r="D65" i="5"/>
  <c r="D248" i="5" s="1"/>
  <c r="C65" i="5"/>
  <c r="C56" i="10" s="1"/>
  <c r="H51" i="5"/>
  <c r="H247" i="5" s="1"/>
  <c r="G51" i="5"/>
  <c r="G247" i="5" s="1"/>
  <c r="F51" i="5"/>
  <c r="E51" i="5"/>
  <c r="E247" i="5" s="1"/>
  <c r="D51" i="5"/>
  <c r="D247" i="5" s="1"/>
  <c r="C51" i="5"/>
  <c r="C11" i="10" s="1"/>
  <c r="C5" i="16" s="1"/>
  <c r="H42" i="5"/>
  <c r="H246" i="5" s="1"/>
  <c r="F246" i="5"/>
  <c r="E246" i="5"/>
  <c r="D42" i="5"/>
  <c r="D246" i="5" s="1"/>
  <c r="C42" i="5"/>
  <c r="C50" i="10" s="1"/>
  <c r="H34" i="5"/>
  <c r="H245" i="5" s="1"/>
  <c r="G245" i="5"/>
  <c r="C71" i="12" s="1"/>
  <c r="F34" i="5"/>
  <c r="E34" i="5"/>
  <c r="E245" i="5" s="1"/>
  <c r="D34" i="5"/>
  <c r="D245" i="5" s="1"/>
  <c r="C34" i="5"/>
  <c r="H27" i="5"/>
  <c r="H244" i="5" s="1"/>
  <c r="G27" i="5"/>
  <c r="F27" i="5"/>
  <c r="E27" i="5"/>
  <c r="E244" i="5" s="1"/>
  <c r="D27" i="5"/>
  <c r="D244" i="5" s="1"/>
  <c r="C27" i="5"/>
  <c r="C32" i="10" s="1"/>
  <c r="H21" i="5"/>
  <c r="H243" i="5" s="1"/>
  <c r="G21" i="5"/>
  <c r="G243" i="5" s="1"/>
  <c r="F21" i="5"/>
  <c r="E21" i="5"/>
  <c r="E243" i="5" s="1"/>
  <c r="D21" i="5"/>
  <c r="D243" i="5" s="1"/>
  <c r="C21" i="5"/>
  <c r="C243" i="5" s="1"/>
  <c r="H9" i="5"/>
  <c r="D9" i="5"/>
  <c r="C9" i="5"/>
  <c r="H802" i="4"/>
  <c r="E802" i="4"/>
  <c r="D802" i="4"/>
  <c r="G756" i="4"/>
  <c r="G754" i="4"/>
  <c r="G753" i="4"/>
  <c r="G752" i="4"/>
  <c r="G751" i="4"/>
  <c r="G750" i="4"/>
  <c r="G748" i="4"/>
  <c r="G747" i="4"/>
  <c r="G746" i="4"/>
  <c r="G745" i="4"/>
  <c r="G744" i="4"/>
  <c r="G743" i="4"/>
  <c r="G742" i="4"/>
  <c r="G741" i="4"/>
  <c r="G740" i="4"/>
  <c r="G739" i="4"/>
  <c r="G738" i="4"/>
  <c r="G736" i="4"/>
  <c r="G735" i="4"/>
  <c r="G734" i="4"/>
  <c r="G733" i="4"/>
  <c r="G732" i="4"/>
  <c r="G730" i="4"/>
  <c r="G729" i="4"/>
  <c r="G728" i="4"/>
  <c r="G726" i="4"/>
  <c r="G725" i="4"/>
  <c r="G723" i="4"/>
  <c r="G722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2" i="4"/>
  <c r="G700" i="4"/>
  <c r="G699" i="4"/>
  <c r="G698" i="4"/>
  <c r="G697" i="4"/>
  <c r="G695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6" i="4"/>
  <c r="G675" i="4"/>
  <c r="G674" i="4"/>
  <c r="G672" i="4"/>
  <c r="G671" i="4"/>
  <c r="G669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H649" i="4"/>
  <c r="G649" i="4"/>
  <c r="F649" i="4"/>
  <c r="K649" i="4" s="1"/>
  <c r="E649" i="4"/>
  <c r="D649" i="4"/>
  <c r="G642" i="4"/>
  <c r="F642" i="4"/>
  <c r="E642" i="4"/>
  <c r="D642" i="4"/>
  <c r="G641" i="4"/>
  <c r="F641" i="4"/>
  <c r="K641" i="4" s="1"/>
  <c r="E641" i="4"/>
  <c r="D641" i="4"/>
  <c r="G640" i="4"/>
  <c r="F640" i="4"/>
  <c r="K640" i="4" s="1"/>
  <c r="E640" i="4"/>
  <c r="D640" i="4"/>
  <c r="G639" i="4"/>
  <c r="E639" i="4"/>
  <c r="D639" i="4"/>
  <c r="G638" i="4"/>
  <c r="F638" i="4"/>
  <c r="E638" i="4"/>
  <c r="D638" i="4"/>
  <c r="G637" i="4"/>
  <c r="F637" i="4"/>
  <c r="K637" i="4" s="1"/>
  <c r="E637" i="4"/>
  <c r="D637" i="4"/>
  <c r="G636" i="4"/>
  <c r="F636" i="4"/>
  <c r="E636" i="4"/>
  <c r="K636" i="4" s="1"/>
  <c r="D636" i="4"/>
  <c r="G635" i="4"/>
  <c r="F635" i="4"/>
  <c r="E635" i="4"/>
  <c r="D635" i="4"/>
  <c r="G634" i="4"/>
  <c r="F634" i="4"/>
  <c r="K634" i="4" s="1"/>
  <c r="E634" i="4"/>
  <c r="D634" i="4"/>
  <c r="G632" i="4"/>
  <c r="F632" i="4"/>
  <c r="E632" i="4"/>
  <c r="D632" i="4"/>
  <c r="G631" i="4"/>
  <c r="F631" i="4"/>
  <c r="E631" i="4"/>
  <c r="K631" i="4" s="1"/>
  <c r="D631" i="4"/>
  <c r="G630" i="4"/>
  <c r="F630" i="4"/>
  <c r="K630" i="4" s="1"/>
  <c r="E630" i="4"/>
  <c r="D630" i="4"/>
  <c r="G629" i="4"/>
  <c r="F629" i="4"/>
  <c r="E629" i="4"/>
  <c r="D629" i="4"/>
  <c r="G620" i="4"/>
  <c r="F620" i="4"/>
  <c r="E620" i="4"/>
  <c r="D620" i="4"/>
  <c r="G610" i="4"/>
  <c r="F610" i="4"/>
  <c r="K610" i="4" s="1"/>
  <c r="E610" i="4"/>
  <c r="D610" i="4"/>
  <c r="G607" i="4"/>
  <c r="F607" i="4"/>
  <c r="E607" i="4"/>
  <c r="D607" i="4"/>
  <c r="G606" i="4"/>
  <c r="E606" i="4"/>
  <c r="D606" i="4"/>
  <c r="G605" i="4"/>
  <c r="F605" i="4"/>
  <c r="E605" i="4"/>
  <c r="D605" i="4"/>
  <c r="G604" i="4"/>
  <c r="F604" i="4"/>
  <c r="K604" i="4" s="1"/>
  <c r="E604" i="4"/>
  <c r="D604" i="4"/>
  <c r="G603" i="4"/>
  <c r="F603" i="4"/>
  <c r="K603" i="4" s="1"/>
  <c r="E603" i="4"/>
  <c r="D603" i="4"/>
  <c r="G602" i="4"/>
  <c r="F602" i="4"/>
  <c r="E602" i="4"/>
  <c r="D602" i="4"/>
  <c r="G601" i="4"/>
  <c r="F601" i="4"/>
  <c r="K601" i="4" s="1"/>
  <c r="E601" i="4"/>
  <c r="D601" i="4"/>
  <c r="G599" i="4"/>
  <c r="F599" i="4"/>
  <c r="K599" i="4" s="1"/>
  <c r="E599" i="4"/>
  <c r="D599" i="4"/>
  <c r="G597" i="4"/>
  <c r="F597" i="4"/>
  <c r="E597" i="4"/>
  <c r="D597" i="4"/>
  <c r="G596" i="4"/>
  <c r="F596" i="4"/>
  <c r="K596" i="4" s="1"/>
  <c r="E596" i="4"/>
  <c r="D596" i="4"/>
  <c r="G595" i="4"/>
  <c r="F595" i="4"/>
  <c r="K595" i="4" s="1"/>
  <c r="E595" i="4"/>
  <c r="D595" i="4"/>
  <c r="G594" i="4"/>
  <c r="F594" i="4"/>
  <c r="E594" i="4"/>
  <c r="D594" i="4"/>
  <c r="G588" i="4"/>
  <c r="F588" i="4"/>
  <c r="K588" i="4" s="1"/>
  <c r="E588" i="4"/>
  <c r="D588" i="4"/>
  <c r="G587" i="4"/>
  <c r="F587" i="4"/>
  <c r="K587" i="4" s="1"/>
  <c r="E587" i="4"/>
  <c r="D587" i="4"/>
  <c r="G586" i="4"/>
  <c r="F586" i="4"/>
  <c r="E586" i="4"/>
  <c r="D586" i="4"/>
  <c r="F580" i="4"/>
  <c r="E580" i="4"/>
  <c r="D580" i="4"/>
  <c r="E579" i="4"/>
  <c r="D579" i="4"/>
  <c r="F578" i="4"/>
  <c r="K578" i="4" s="1"/>
  <c r="E578" i="4"/>
  <c r="D578" i="4"/>
  <c r="F577" i="4"/>
  <c r="E577" i="4"/>
  <c r="D577" i="4"/>
  <c r="F576" i="4"/>
  <c r="K576" i="4" s="1"/>
  <c r="E576" i="4"/>
  <c r="D576" i="4"/>
  <c r="F575" i="4"/>
  <c r="E575" i="4"/>
  <c r="D575" i="4"/>
  <c r="F574" i="4"/>
  <c r="K574" i="4" s="1"/>
  <c r="E574" i="4"/>
  <c r="D574" i="4"/>
  <c r="F572" i="4"/>
  <c r="E572" i="4"/>
  <c r="D572" i="4"/>
  <c r="F570" i="4"/>
  <c r="E570" i="4"/>
  <c r="D570" i="4"/>
  <c r="F569" i="4"/>
  <c r="E569" i="4"/>
  <c r="D569" i="4"/>
  <c r="F567" i="4"/>
  <c r="K567" i="4" s="1"/>
  <c r="E567" i="4"/>
  <c r="D567" i="4"/>
  <c r="F566" i="4"/>
  <c r="E566" i="4"/>
  <c r="D566" i="4"/>
  <c r="F565" i="4"/>
  <c r="K565" i="4" s="1"/>
  <c r="E565" i="4"/>
  <c r="D565" i="4"/>
  <c r="F564" i="4"/>
  <c r="E564" i="4"/>
  <c r="D564" i="4"/>
  <c r="F563" i="4"/>
  <c r="K563" i="4" s="1"/>
  <c r="E563" i="4"/>
  <c r="D563" i="4"/>
  <c r="F562" i="4"/>
  <c r="E562" i="4"/>
  <c r="D562" i="4"/>
  <c r="G556" i="4"/>
  <c r="G557" i="4" s="1"/>
  <c r="F556" i="4"/>
  <c r="E556" i="4"/>
  <c r="E557" i="4" s="1"/>
  <c r="E668" i="14" s="1"/>
  <c r="D556" i="4"/>
  <c r="D557" i="4" s="1"/>
  <c r="D668" i="14" s="1"/>
  <c r="G550" i="4"/>
  <c r="F550" i="4"/>
  <c r="E550" i="4"/>
  <c r="K550" i="4" s="1"/>
  <c r="D550" i="4"/>
  <c r="G548" i="4"/>
  <c r="F548" i="4"/>
  <c r="E548" i="4"/>
  <c r="D548" i="4"/>
  <c r="G540" i="4"/>
  <c r="F540" i="4"/>
  <c r="E540" i="4"/>
  <c r="D540" i="4"/>
  <c r="G538" i="4"/>
  <c r="F538" i="4"/>
  <c r="E538" i="4"/>
  <c r="D538" i="4"/>
  <c r="G537" i="4"/>
  <c r="F537" i="4"/>
  <c r="E537" i="4"/>
  <c r="D537" i="4"/>
  <c r="G536" i="4"/>
  <c r="F536" i="4"/>
  <c r="E536" i="4"/>
  <c r="D536" i="4"/>
  <c r="G535" i="4"/>
  <c r="F535" i="4"/>
  <c r="E535" i="4"/>
  <c r="D535" i="4"/>
  <c r="G534" i="4"/>
  <c r="F534" i="4"/>
  <c r="E534" i="4"/>
  <c r="D534" i="4"/>
  <c r="G532" i="4"/>
  <c r="F532" i="4"/>
  <c r="E532" i="4"/>
  <c r="D532" i="4"/>
  <c r="G531" i="4"/>
  <c r="F531" i="4"/>
  <c r="E531" i="4"/>
  <c r="D531" i="4"/>
  <c r="G530" i="4"/>
  <c r="F530" i="4"/>
  <c r="E530" i="4"/>
  <c r="D530" i="4"/>
  <c r="G529" i="4"/>
  <c r="F529" i="4"/>
  <c r="E529" i="4"/>
  <c r="D529" i="4"/>
  <c r="G528" i="4"/>
  <c r="F528" i="4"/>
  <c r="E528" i="4"/>
  <c r="D528" i="4"/>
  <c r="G527" i="4"/>
  <c r="F527" i="4"/>
  <c r="E527" i="4"/>
  <c r="D527" i="4"/>
  <c r="G526" i="4"/>
  <c r="F526" i="4"/>
  <c r="E526" i="4"/>
  <c r="D526" i="4"/>
  <c r="G523" i="4"/>
  <c r="F523" i="4"/>
  <c r="E523" i="4"/>
  <c r="D523" i="4"/>
  <c r="G520" i="4"/>
  <c r="F520" i="4"/>
  <c r="E520" i="4"/>
  <c r="D520" i="4"/>
  <c r="G519" i="4"/>
  <c r="F519" i="4"/>
  <c r="E519" i="4"/>
  <c r="D519" i="4"/>
  <c r="G512" i="4"/>
  <c r="F512" i="4"/>
  <c r="E512" i="4"/>
  <c r="D512" i="4"/>
  <c r="G511" i="4"/>
  <c r="F511" i="4"/>
  <c r="E511" i="4"/>
  <c r="D511" i="4"/>
  <c r="G509" i="4"/>
  <c r="F509" i="4"/>
  <c r="E509" i="4"/>
  <c r="D509" i="4"/>
  <c r="G507" i="4"/>
  <c r="F507" i="4"/>
  <c r="E507" i="4"/>
  <c r="D507" i="4"/>
  <c r="G506" i="4"/>
  <c r="F506" i="4"/>
  <c r="E506" i="4"/>
  <c r="D506" i="4"/>
  <c r="G505" i="4"/>
  <c r="F505" i="4"/>
  <c r="E505" i="4"/>
  <c r="D505" i="4"/>
  <c r="G502" i="4"/>
  <c r="F502" i="4"/>
  <c r="E502" i="4"/>
  <c r="K502" i="4" s="1"/>
  <c r="D502" i="4"/>
  <c r="G494" i="4"/>
  <c r="G497" i="4" s="1"/>
  <c r="F494" i="4"/>
  <c r="E494" i="4"/>
  <c r="E497" i="4" s="1"/>
  <c r="E664" i="14" s="1"/>
  <c r="D494" i="4"/>
  <c r="F488" i="4"/>
  <c r="K488" i="4" s="1"/>
  <c r="E488" i="4"/>
  <c r="D488" i="4"/>
  <c r="G486" i="4"/>
  <c r="F486" i="4"/>
  <c r="E486" i="4"/>
  <c r="D486" i="4"/>
  <c r="G485" i="4"/>
  <c r="F485" i="4"/>
  <c r="K485" i="4" s="1"/>
  <c r="E485" i="4"/>
  <c r="D485" i="4"/>
  <c r="G484" i="4"/>
  <c r="F484" i="4"/>
  <c r="K484" i="4" s="1"/>
  <c r="E484" i="4"/>
  <c r="D484" i="4"/>
  <c r="G483" i="4"/>
  <c r="F483" i="4"/>
  <c r="E483" i="4"/>
  <c r="D483" i="4"/>
  <c r="G482" i="4"/>
  <c r="F482" i="4"/>
  <c r="E482" i="4"/>
  <c r="D482" i="4"/>
  <c r="G481" i="4"/>
  <c r="F481" i="4"/>
  <c r="K481" i="4" s="1"/>
  <c r="E481" i="4"/>
  <c r="D481" i="4"/>
  <c r="G480" i="4"/>
  <c r="F480" i="4"/>
  <c r="E480" i="4"/>
  <c r="D480" i="4"/>
  <c r="G479" i="4"/>
  <c r="F479" i="4"/>
  <c r="K479" i="4" s="1"/>
  <c r="E479" i="4"/>
  <c r="D479" i="4"/>
  <c r="G478" i="4"/>
  <c r="F478" i="4"/>
  <c r="K478" i="4" s="1"/>
  <c r="E478" i="4"/>
  <c r="D478" i="4"/>
  <c r="G477" i="4"/>
  <c r="F477" i="4"/>
  <c r="E477" i="4"/>
  <c r="D477" i="4"/>
  <c r="G476" i="4"/>
  <c r="F476" i="4"/>
  <c r="K476" i="4" s="1"/>
  <c r="E476" i="4"/>
  <c r="D476" i="4"/>
  <c r="G469" i="4"/>
  <c r="F469" i="4"/>
  <c r="K469" i="4" s="1"/>
  <c r="E469" i="4"/>
  <c r="D469" i="4"/>
  <c r="G466" i="4"/>
  <c r="F466" i="4"/>
  <c r="E466" i="4"/>
  <c r="D466" i="4"/>
  <c r="G465" i="4"/>
  <c r="F465" i="4"/>
  <c r="K465" i="4" s="1"/>
  <c r="E465" i="4"/>
  <c r="D465" i="4"/>
  <c r="G464" i="4"/>
  <c r="F464" i="4"/>
  <c r="K464" i="4" s="1"/>
  <c r="E464" i="4"/>
  <c r="D464" i="4"/>
  <c r="G463" i="4"/>
  <c r="F463" i="4"/>
  <c r="E463" i="4"/>
  <c r="D463" i="4"/>
  <c r="G462" i="4"/>
  <c r="F462" i="4"/>
  <c r="K462" i="4" s="1"/>
  <c r="E462" i="4"/>
  <c r="D462" i="4"/>
  <c r="G461" i="4"/>
  <c r="F461" i="4"/>
  <c r="K461" i="4" s="1"/>
  <c r="E461" i="4"/>
  <c r="D461" i="4"/>
  <c r="G458" i="4"/>
  <c r="F458" i="4"/>
  <c r="E458" i="4"/>
  <c r="D458" i="4"/>
  <c r="G457" i="4"/>
  <c r="F457" i="4"/>
  <c r="K457" i="4" s="1"/>
  <c r="E457" i="4"/>
  <c r="D457" i="4"/>
  <c r="G449" i="4"/>
  <c r="F449" i="4"/>
  <c r="K449" i="4" s="1"/>
  <c r="E449" i="4"/>
  <c r="D449" i="4"/>
  <c r="G448" i="4"/>
  <c r="F448" i="4"/>
  <c r="E448" i="4"/>
  <c r="D448" i="4"/>
  <c r="G445" i="4"/>
  <c r="F445" i="4"/>
  <c r="K445" i="4" s="1"/>
  <c r="E445" i="4"/>
  <c r="D445" i="4"/>
  <c r="G444" i="4"/>
  <c r="F444" i="4"/>
  <c r="K444" i="4" s="1"/>
  <c r="E444" i="4"/>
  <c r="D444" i="4"/>
  <c r="G443" i="4"/>
  <c r="F443" i="4"/>
  <c r="E443" i="4"/>
  <c r="D443" i="4"/>
  <c r="G442" i="4"/>
  <c r="F442" i="4"/>
  <c r="K442" i="4" s="1"/>
  <c r="E442" i="4"/>
  <c r="D442" i="4"/>
  <c r="G440" i="4"/>
  <c r="F440" i="4"/>
  <c r="K440" i="4" s="1"/>
  <c r="E440" i="4"/>
  <c r="D440" i="4"/>
  <c r="G407" i="4"/>
  <c r="F407" i="4"/>
  <c r="E407" i="4"/>
  <c r="D407" i="4"/>
  <c r="G406" i="4"/>
  <c r="F406" i="4"/>
  <c r="K406" i="4" s="1"/>
  <c r="E406" i="4"/>
  <c r="D406" i="4"/>
  <c r="G399" i="4"/>
  <c r="F399" i="4"/>
  <c r="K399" i="4" s="1"/>
  <c r="E399" i="4"/>
  <c r="D399" i="4"/>
  <c r="G398" i="4"/>
  <c r="F398" i="4"/>
  <c r="E398" i="4"/>
  <c r="D398" i="4"/>
  <c r="G396" i="4"/>
  <c r="F396" i="4"/>
  <c r="K396" i="4" s="1"/>
  <c r="E396" i="4"/>
  <c r="D396" i="4"/>
  <c r="G395" i="4"/>
  <c r="F395" i="4"/>
  <c r="K395" i="4" s="1"/>
  <c r="E395" i="4"/>
  <c r="D395" i="4"/>
  <c r="G389" i="4"/>
  <c r="F389" i="4"/>
  <c r="E389" i="4"/>
  <c r="D389" i="4"/>
  <c r="G387" i="4"/>
  <c r="F387" i="4"/>
  <c r="K387" i="4" s="1"/>
  <c r="E387" i="4"/>
  <c r="D387" i="4"/>
  <c r="G386" i="4"/>
  <c r="F386" i="4"/>
  <c r="K386" i="4" s="1"/>
  <c r="E386" i="4"/>
  <c r="D386" i="4"/>
  <c r="G385" i="4"/>
  <c r="F385" i="4"/>
  <c r="E385" i="4"/>
  <c r="D385" i="4"/>
  <c r="G384" i="4"/>
  <c r="F384" i="4"/>
  <c r="K384" i="4" s="1"/>
  <c r="E384" i="4"/>
  <c r="D384" i="4"/>
  <c r="G383" i="4"/>
  <c r="F383" i="4"/>
  <c r="K383" i="4" s="1"/>
  <c r="E383" i="4"/>
  <c r="D383" i="4"/>
  <c r="G382" i="4"/>
  <c r="E382" i="4"/>
  <c r="D382" i="4"/>
  <c r="G381" i="4"/>
  <c r="E381" i="4"/>
  <c r="D381" i="4"/>
  <c r="G380" i="4"/>
  <c r="F380" i="4"/>
  <c r="E380" i="4"/>
  <c r="D380" i="4"/>
  <c r="G379" i="4"/>
  <c r="F379" i="4"/>
  <c r="K379" i="4" s="1"/>
  <c r="E379" i="4"/>
  <c r="D379" i="4"/>
  <c r="G378" i="4"/>
  <c r="F378" i="4"/>
  <c r="K378" i="4" s="1"/>
  <c r="E378" i="4"/>
  <c r="D378" i="4"/>
  <c r="G377" i="4"/>
  <c r="F377" i="4"/>
  <c r="E377" i="4"/>
  <c r="D377" i="4"/>
  <c r="G376" i="4"/>
  <c r="F376" i="4"/>
  <c r="K376" i="4" s="1"/>
  <c r="E376" i="4"/>
  <c r="D376" i="4"/>
  <c r="G375" i="4"/>
  <c r="F375" i="4"/>
  <c r="K375" i="4" s="1"/>
  <c r="E375" i="4"/>
  <c r="D375" i="4"/>
  <c r="G373" i="4"/>
  <c r="F373" i="4"/>
  <c r="E373" i="4"/>
  <c r="D373" i="4"/>
  <c r="G372" i="4"/>
  <c r="F372" i="4"/>
  <c r="K372" i="4" s="1"/>
  <c r="E372" i="4"/>
  <c r="D372" i="4"/>
  <c r="G371" i="4"/>
  <c r="E371" i="4"/>
  <c r="D371" i="4"/>
  <c r="G370" i="4"/>
  <c r="F370" i="4"/>
  <c r="E370" i="4"/>
  <c r="D370" i="4"/>
  <c r="G369" i="4"/>
  <c r="F369" i="4"/>
  <c r="E369" i="4"/>
  <c r="D369" i="4"/>
  <c r="G368" i="4"/>
  <c r="F368" i="4"/>
  <c r="E368" i="4"/>
  <c r="D368" i="4"/>
  <c r="G367" i="4"/>
  <c r="F367" i="4"/>
  <c r="E367" i="4"/>
  <c r="D367" i="4"/>
  <c r="G365" i="4"/>
  <c r="F365" i="4"/>
  <c r="E365" i="4"/>
  <c r="D365" i="4"/>
  <c r="G364" i="4"/>
  <c r="F364" i="4"/>
  <c r="E364" i="4"/>
  <c r="D364" i="4"/>
  <c r="G362" i="4"/>
  <c r="F362" i="4"/>
  <c r="E362" i="4"/>
  <c r="D362" i="4"/>
  <c r="G361" i="4"/>
  <c r="F361" i="4"/>
  <c r="E361" i="4"/>
  <c r="D361" i="4"/>
  <c r="G359" i="4"/>
  <c r="F359" i="4"/>
  <c r="E359" i="4"/>
  <c r="D359" i="4"/>
  <c r="G358" i="4"/>
  <c r="F358" i="4"/>
  <c r="E358" i="4"/>
  <c r="D358" i="4"/>
  <c r="G356" i="4"/>
  <c r="F356" i="4"/>
  <c r="E356" i="4"/>
  <c r="D356" i="4"/>
  <c r="G355" i="4"/>
  <c r="F355" i="4"/>
  <c r="E355" i="4"/>
  <c r="D355" i="4"/>
  <c r="G354" i="4"/>
  <c r="F354" i="4"/>
  <c r="E354" i="4"/>
  <c r="D354" i="4"/>
  <c r="G353" i="4"/>
  <c r="F353" i="4"/>
  <c r="E353" i="4"/>
  <c r="D353" i="4"/>
  <c r="G352" i="4"/>
  <c r="F352" i="4"/>
  <c r="E352" i="4"/>
  <c r="D352" i="4"/>
  <c r="G351" i="4"/>
  <c r="F351" i="4"/>
  <c r="E351" i="4"/>
  <c r="D351" i="4"/>
  <c r="G350" i="4"/>
  <c r="F350" i="4"/>
  <c r="E350" i="4"/>
  <c r="D350" i="4"/>
  <c r="G349" i="4"/>
  <c r="F349" i="4"/>
  <c r="E349" i="4"/>
  <c r="D349" i="4"/>
  <c r="G347" i="4"/>
  <c r="F347" i="4"/>
  <c r="E347" i="4"/>
  <c r="D347" i="4"/>
  <c r="G346" i="4"/>
  <c r="F346" i="4"/>
  <c r="E346" i="4"/>
  <c r="D346" i="4"/>
  <c r="G345" i="4"/>
  <c r="F345" i="4"/>
  <c r="K345" i="4" s="1"/>
  <c r="E345" i="4"/>
  <c r="D345" i="4"/>
  <c r="G344" i="4"/>
  <c r="F344" i="4"/>
  <c r="E344" i="4"/>
  <c r="D344" i="4"/>
  <c r="G338" i="4"/>
  <c r="F338" i="4"/>
  <c r="E338" i="4"/>
  <c r="D338" i="4"/>
  <c r="G337" i="4"/>
  <c r="F337" i="4"/>
  <c r="K337" i="4" s="1"/>
  <c r="E337" i="4"/>
  <c r="D337" i="4"/>
  <c r="G326" i="4"/>
  <c r="F326" i="4"/>
  <c r="E326" i="4"/>
  <c r="D326" i="4"/>
  <c r="G325" i="4"/>
  <c r="F325" i="4"/>
  <c r="E325" i="4"/>
  <c r="D325" i="4"/>
  <c r="G305" i="4"/>
  <c r="F305" i="4"/>
  <c r="E305" i="4"/>
  <c r="D305" i="4"/>
  <c r="G302" i="4"/>
  <c r="F302" i="4"/>
  <c r="E302" i="4"/>
  <c r="D302" i="4"/>
  <c r="G301" i="4"/>
  <c r="F301" i="4"/>
  <c r="E301" i="4"/>
  <c r="D301" i="4"/>
  <c r="G300" i="4"/>
  <c r="F300" i="4"/>
  <c r="K300" i="4" s="1"/>
  <c r="E300" i="4"/>
  <c r="D300" i="4"/>
  <c r="G299" i="4"/>
  <c r="F299" i="4"/>
  <c r="E299" i="4"/>
  <c r="D299" i="4"/>
  <c r="G298" i="4"/>
  <c r="F298" i="4"/>
  <c r="E298" i="4"/>
  <c r="D298" i="4"/>
  <c r="G292" i="4"/>
  <c r="F292" i="4"/>
  <c r="K292" i="4" s="1"/>
  <c r="E292" i="4"/>
  <c r="D292" i="4"/>
  <c r="G291" i="4"/>
  <c r="F291" i="4"/>
  <c r="E291" i="4"/>
  <c r="D291" i="4"/>
  <c r="G290" i="4"/>
  <c r="F290" i="4"/>
  <c r="E290" i="4"/>
  <c r="D290" i="4"/>
  <c r="G289" i="4"/>
  <c r="F289" i="4"/>
  <c r="K289" i="4" s="1"/>
  <c r="E289" i="4"/>
  <c r="D289" i="4"/>
  <c r="G288" i="4"/>
  <c r="F288" i="4"/>
  <c r="E288" i="4"/>
  <c r="D288" i="4"/>
  <c r="G285" i="4"/>
  <c r="F285" i="4"/>
  <c r="E285" i="4"/>
  <c r="D285" i="4"/>
  <c r="G284" i="4"/>
  <c r="F284" i="4"/>
  <c r="K284" i="4" s="1"/>
  <c r="E284" i="4"/>
  <c r="D284" i="4"/>
  <c r="G283" i="4"/>
  <c r="F283" i="4"/>
  <c r="E283" i="4"/>
  <c r="D283" i="4"/>
  <c r="G282" i="4"/>
  <c r="F282" i="4"/>
  <c r="E282" i="4"/>
  <c r="D282" i="4"/>
  <c r="G281" i="4"/>
  <c r="F281" i="4"/>
  <c r="K281" i="4" s="1"/>
  <c r="E281" i="4"/>
  <c r="D281" i="4"/>
  <c r="G279" i="4"/>
  <c r="F279" i="4"/>
  <c r="E279" i="4"/>
  <c r="D279" i="4"/>
  <c r="G277" i="4"/>
  <c r="F277" i="4"/>
  <c r="E277" i="4"/>
  <c r="D277" i="4"/>
  <c r="G276" i="4"/>
  <c r="F276" i="4"/>
  <c r="K276" i="4" s="1"/>
  <c r="E276" i="4"/>
  <c r="D276" i="4"/>
  <c r="G275" i="4"/>
  <c r="F275" i="4"/>
  <c r="E275" i="4"/>
  <c r="D275" i="4"/>
  <c r="G273" i="4"/>
  <c r="F273" i="4"/>
  <c r="E273" i="4"/>
  <c r="D273" i="4"/>
  <c r="G260" i="4"/>
  <c r="F260" i="4"/>
  <c r="K260" i="4" s="1"/>
  <c r="E260" i="4"/>
  <c r="D260" i="4"/>
  <c r="G259" i="4"/>
  <c r="F259" i="4"/>
  <c r="E259" i="4"/>
  <c r="D259" i="4"/>
  <c r="G258" i="4"/>
  <c r="F258" i="4"/>
  <c r="E258" i="4"/>
  <c r="D258" i="4"/>
  <c r="G219" i="4"/>
  <c r="F219" i="4"/>
  <c r="K219" i="4" s="1"/>
  <c r="E219" i="4"/>
  <c r="D219" i="4"/>
  <c r="G211" i="4"/>
  <c r="F211" i="4"/>
  <c r="K211" i="4" s="1"/>
  <c r="E211" i="4"/>
  <c r="D211" i="4"/>
  <c r="G210" i="4"/>
  <c r="F210" i="4"/>
  <c r="E210" i="4"/>
  <c r="D210" i="4"/>
  <c r="G208" i="4"/>
  <c r="F208" i="4"/>
  <c r="K208" i="4" s="1"/>
  <c r="E208" i="4"/>
  <c r="D208" i="4"/>
  <c r="G205" i="4"/>
  <c r="F205" i="4"/>
  <c r="K205" i="4" s="1"/>
  <c r="E205" i="4"/>
  <c r="D205" i="4"/>
  <c r="G204" i="4"/>
  <c r="F204" i="4"/>
  <c r="E204" i="4"/>
  <c r="D204" i="4"/>
  <c r="G195" i="4"/>
  <c r="F195" i="4"/>
  <c r="K195" i="4" s="1"/>
  <c r="E195" i="4"/>
  <c r="D195" i="4"/>
  <c r="G193" i="4"/>
  <c r="F193" i="4"/>
  <c r="K193" i="4" s="1"/>
  <c r="E193" i="4"/>
  <c r="D193" i="4"/>
  <c r="G192" i="4"/>
  <c r="F192" i="4"/>
  <c r="E192" i="4"/>
  <c r="D192" i="4"/>
  <c r="G191" i="4"/>
  <c r="F191" i="4"/>
  <c r="K191" i="4" s="1"/>
  <c r="E191" i="4"/>
  <c r="D191" i="4"/>
  <c r="G190" i="4"/>
  <c r="F190" i="4"/>
  <c r="K190" i="4" s="1"/>
  <c r="E190" i="4"/>
  <c r="D190" i="4"/>
  <c r="G189" i="4"/>
  <c r="F189" i="4"/>
  <c r="E189" i="4"/>
  <c r="D189" i="4"/>
  <c r="G187" i="4"/>
  <c r="F187" i="4"/>
  <c r="K187" i="4" s="1"/>
  <c r="E187" i="4"/>
  <c r="D187" i="4"/>
  <c r="G186" i="4"/>
  <c r="F186" i="4"/>
  <c r="K186" i="4" s="1"/>
  <c r="E186" i="4"/>
  <c r="D186" i="4"/>
  <c r="G185" i="4"/>
  <c r="F185" i="4"/>
  <c r="E185" i="4"/>
  <c r="D185" i="4"/>
  <c r="G184" i="4"/>
  <c r="F184" i="4"/>
  <c r="K184" i="4" s="1"/>
  <c r="E184" i="4"/>
  <c r="D184" i="4"/>
  <c r="G183" i="4"/>
  <c r="F183" i="4"/>
  <c r="K183" i="4" s="1"/>
  <c r="E183" i="4"/>
  <c r="D183" i="4"/>
  <c r="G182" i="4"/>
  <c r="F182" i="4"/>
  <c r="E182" i="4"/>
  <c r="D182" i="4"/>
  <c r="G180" i="4"/>
  <c r="F180" i="4"/>
  <c r="K180" i="4" s="1"/>
  <c r="E180" i="4"/>
  <c r="D180" i="4"/>
  <c r="G179" i="4"/>
  <c r="F179" i="4"/>
  <c r="K179" i="4" s="1"/>
  <c r="E179" i="4"/>
  <c r="D179" i="4"/>
  <c r="G177" i="4"/>
  <c r="F177" i="4"/>
  <c r="K177" i="4" s="1"/>
  <c r="E177" i="4"/>
  <c r="D177" i="4"/>
  <c r="G176" i="4"/>
  <c r="F176" i="4"/>
  <c r="K176" i="4" s="1"/>
  <c r="E176" i="4"/>
  <c r="D176" i="4"/>
  <c r="G175" i="4"/>
  <c r="F175" i="4"/>
  <c r="K175" i="4" s="1"/>
  <c r="E175" i="4"/>
  <c r="D175" i="4"/>
  <c r="G174" i="4"/>
  <c r="F174" i="4"/>
  <c r="K174" i="4" s="1"/>
  <c r="E174" i="4"/>
  <c r="D174" i="4"/>
  <c r="G173" i="4"/>
  <c r="F173" i="4"/>
  <c r="K173" i="4" s="1"/>
  <c r="E173" i="4"/>
  <c r="D173" i="4"/>
  <c r="G172" i="4"/>
  <c r="F172" i="4"/>
  <c r="K172" i="4" s="1"/>
  <c r="E172" i="4"/>
  <c r="D172" i="4"/>
  <c r="G155" i="4"/>
  <c r="F155" i="4"/>
  <c r="K155" i="4" s="1"/>
  <c r="E155" i="4"/>
  <c r="D155" i="4"/>
  <c r="G154" i="4"/>
  <c r="F154" i="4"/>
  <c r="K154" i="4" s="1"/>
  <c r="E154" i="4"/>
  <c r="D154" i="4"/>
  <c r="G153" i="4"/>
  <c r="F153" i="4"/>
  <c r="E153" i="4"/>
  <c r="D153" i="4"/>
  <c r="G152" i="4"/>
  <c r="F152" i="4"/>
  <c r="K152" i="4" s="1"/>
  <c r="E152" i="4"/>
  <c r="D152" i="4"/>
  <c r="G151" i="4"/>
  <c r="F151" i="4"/>
  <c r="K151" i="4" s="1"/>
  <c r="E151" i="4"/>
  <c r="D151" i="4"/>
  <c r="G144" i="4"/>
  <c r="F144" i="4"/>
  <c r="E144" i="4"/>
  <c r="D144" i="4"/>
  <c r="G117" i="4"/>
  <c r="F117" i="4"/>
  <c r="K117" i="4" s="1"/>
  <c r="E117" i="4"/>
  <c r="D117" i="4"/>
  <c r="G116" i="4"/>
  <c r="F116" i="4"/>
  <c r="E116" i="4"/>
  <c r="D116" i="4"/>
  <c r="G115" i="4"/>
  <c r="F115" i="4"/>
  <c r="K115" i="4" s="1"/>
  <c r="E115" i="4"/>
  <c r="D115" i="4"/>
  <c r="G114" i="4"/>
  <c r="F114" i="4"/>
  <c r="K114" i="4" s="1"/>
  <c r="E114" i="4"/>
  <c r="D114" i="4"/>
  <c r="G113" i="4"/>
  <c r="F113" i="4"/>
  <c r="K113" i="4" s="1"/>
  <c r="E113" i="4"/>
  <c r="D113" i="4"/>
  <c r="G112" i="4"/>
  <c r="F112" i="4"/>
  <c r="K112" i="4" s="1"/>
  <c r="E112" i="4"/>
  <c r="D112" i="4"/>
  <c r="G111" i="4"/>
  <c r="F111" i="4"/>
  <c r="K111" i="4" s="1"/>
  <c r="E111" i="4"/>
  <c r="D111" i="4"/>
  <c r="G109" i="4"/>
  <c r="F109" i="4"/>
  <c r="K109" i="4" s="1"/>
  <c r="E109" i="4"/>
  <c r="D109" i="4"/>
  <c r="G103" i="4"/>
  <c r="F103" i="4"/>
  <c r="K103" i="4" s="1"/>
  <c r="E103" i="4"/>
  <c r="D103" i="4"/>
  <c r="G102" i="4"/>
  <c r="F102" i="4"/>
  <c r="E102" i="4"/>
  <c r="D102" i="4"/>
  <c r="G96" i="4"/>
  <c r="E96" i="4"/>
  <c r="D96" i="4"/>
  <c r="G95" i="4"/>
  <c r="F95" i="4"/>
  <c r="K95" i="4" s="1"/>
  <c r="E95" i="4"/>
  <c r="D95" i="4"/>
  <c r="G89" i="4"/>
  <c r="F89" i="4"/>
  <c r="E89" i="4"/>
  <c r="D89" i="4"/>
  <c r="G88" i="4"/>
  <c r="F88" i="4"/>
  <c r="E88" i="4"/>
  <c r="D88" i="4"/>
  <c r="G87" i="4"/>
  <c r="F87" i="4"/>
  <c r="K87" i="4" s="1"/>
  <c r="E87" i="4"/>
  <c r="D87" i="4"/>
  <c r="G86" i="4"/>
  <c r="F86" i="4"/>
  <c r="E86" i="4"/>
  <c r="D86" i="4"/>
  <c r="G85" i="4"/>
  <c r="F85" i="4"/>
  <c r="E85" i="4"/>
  <c r="D85" i="4"/>
  <c r="G84" i="4"/>
  <c r="F84" i="4"/>
  <c r="K84" i="4" s="1"/>
  <c r="E84" i="4"/>
  <c r="D84" i="4"/>
  <c r="G83" i="4"/>
  <c r="F83" i="4"/>
  <c r="E83" i="4"/>
  <c r="D83" i="4"/>
  <c r="G82" i="4"/>
  <c r="F82" i="4"/>
  <c r="E82" i="4"/>
  <c r="D82" i="4"/>
  <c r="G81" i="4"/>
  <c r="F81" i="4"/>
  <c r="K81" i="4" s="1"/>
  <c r="E81" i="4"/>
  <c r="D81" i="4"/>
  <c r="G79" i="4"/>
  <c r="F79" i="4"/>
  <c r="E79" i="4"/>
  <c r="D79" i="4"/>
  <c r="G78" i="4"/>
  <c r="F78" i="4"/>
  <c r="E78" i="4"/>
  <c r="D78" i="4"/>
  <c r="G77" i="4"/>
  <c r="F77" i="4"/>
  <c r="K77" i="4" s="1"/>
  <c r="E77" i="4"/>
  <c r="D77" i="4"/>
  <c r="G75" i="4"/>
  <c r="F75" i="4"/>
  <c r="E75" i="4"/>
  <c r="D75" i="4"/>
  <c r="G69" i="4"/>
  <c r="F69" i="4"/>
  <c r="E69" i="4"/>
  <c r="D69" i="4"/>
  <c r="G68" i="4"/>
  <c r="F68" i="4"/>
  <c r="K68" i="4" s="1"/>
  <c r="E68" i="4"/>
  <c r="D68" i="4"/>
  <c r="G67" i="4"/>
  <c r="F67" i="4"/>
  <c r="E67" i="4"/>
  <c r="D67" i="4"/>
  <c r="G66" i="4"/>
  <c r="F66" i="4"/>
  <c r="E66" i="4"/>
  <c r="D66" i="4"/>
  <c r="G65" i="4"/>
  <c r="F65" i="4"/>
  <c r="K65" i="4" s="1"/>
  <c r="E65" i="4"/>
  <c r="D65" i="4"/>
  <c r="G64" i="4"/>
  <c r="F64" i="4"/>
  <c r="E64" i="4"/>
  <c r="D64" i="4"/>
  <c r="G63" i="4"/>
  <c r="F63" i="4"/>
  <c r="E63" i="4"/>
  <c r="D63" i="4"/>
  <c r="G62" i="4"/>
  <c r="F62" i="4"/>
  <c r="K62" i="4" s="1"/>
  <c r="E62" i="4"/>
  <c r="D62" i="4"/>
  <c r="G61" i="4"/>
  <c r="F61" i="4"/>
  <c r="E61" i="4"/>
  <c r="D61" i="4"/>
  <c r="G55" i="4"/>
  <c r="F55" i="4"/>
  <c r="E55" i="4"/>
  <c r="D55" i="4"/>
  <c r="G54" i="4"/>
  <c r="F54" i="4"/>
  <c r="K54" i="4" s="1"/>
  <c r="E54" i="4"/>
  <c r="D54" i="4"/>
  <c r="G52" i="4"/>
  <c r="F52" i="4"/>
  <c r="E52" i="4"/>
  <c r="D52" i="4"/>
  <c r="G51" i="4"/>
  <c r="F51" i="4"/>
  <c r="E51" i="4"/>
  <c r="D51" i="4"/>
  <c r="G50" i="4"/>
  <c r="F50" i="4"/>
  <c r="K50" i="4" s="1"/>
  <c r="E50" i="4"/>
  <c r="D50" i="4"/>
  <c r="G49" i="4"/>
  <c r="F49" i="4"/>
  <c r="E49" i="4"/>
  <c r="D49" i="4"/>
  <c r="G48" i="4"/>
  <c r="F48" i="4"/>
  <c r="E48" i="4"/>
  <c r="D48" i="4"/>
  <c r="G47" i="4"/>
  <c r="F47" i="4"/>
  <c r="K47" i="4" s="1"/>
  <c r="E47" i="4"/>
  <c r="D47" i="4"/>
  <c r="G46" i="4"/>
  <c r="F46" i="4"/>
  <c r="K46" i="4" s="1"/>
  <c r="E46" i="4"/>
  <c r="D46" i="4"/>
  <c r="G45" i="4"/>
  <c r="F45" i="4"/>
  <c r="E45" i="4"/>
  <c r="D45" i="4"/>
  <c r="G44" i="4"/>
  <c r="F44" i="4"/>
  <c r="K44" i="4" s="1"/>
  <c r="E44" i="4"/>
  <c r="D44" i="4"/>
  <c r="G43" i="4"/>
  <c r="F43" i="4"/>
  <c r="K43" i="4" s="1"/>
  <c r="E43" i="4"/>
  <c r="D43" i="4"/>
  <c r="G41" i="4"/>
  <c r="F41" i="4"/>
  <c r="E41" i="4"/>
  <c r="D41" i="4"/>
  <c r="G40" i="4"/>
  <c r="F40" i="4"/>
  <c r="K40" i="4" s="1"/>
  <c r="E40" i="4"/>
  <c r="D40" i="4"/>
  <c r="G38" i="4"/>
  <c r="F38" i="4"/>
  <c r="K38" i="4" s="1"/>
  <c r="E38" i="4"/>
  <c r="D38" i="4"/>
  <c r="G37" i="4"/>
  <c r="F37" i="4"/>
  <c r="E37" i="4"/>
  <c r="D37" i="4"/>
  <c r="G36" i="4"/>
  <c r="F36" i="4"/>
  <c r="K36" i="4" s="1"/>
  <c r="E36" i="4"/>
  <c r="D36" i="4"/>
  <c r="G35" i="4"/>
  <c r="F35" i="4"/>
  <c r="K35" i="4" s="1"/>
  <c r="E35" i="4"/>
  <c r="D35" i="4"/>
  <c r="G34" i="4"/>
  <c r="F34" i="4"/>
  <c r="E34" i="4"/>
  <c r="D34" i="4"/>
  <c r="G33" i="4"/>
  <c r="F33" i="4"/>
  <c r="K33" i="4" s="1"/>
  <c r="E33" i="4"/>
  <c r="D33" i="4"/>
  <c r="G32" i="4"/>
  <c r="F32" i="4"/>
  <c r="K32" i="4" s="1"/>
  <c r="E32" i="4"/>
  <c r="D32" i="4"/>
  <c r="G31" i="4"/>
  <c r="F31" i="4"/>
  <c r="E31" i="4"/>
  <c r="D31" i="4"/>
  <c r="G24" i="4"/>
  <c r="F24" i="4"/>
  <c r="K24" i="4" s="1"/>
  <c r="E24" i="4"/>
  <c r="D24" i="4"/>
  <c r="G23" i="4"/>
  <c r="F23" i="4"/>
  <c r="K23" i="4" s="1"/>
  <c r="E23" i="4"/>
  <c r="D23" i="4"/>
  <c r="G16" i="4"/>
  <c r="F16" i="4"/>
  <c r="E16" i="4"/>
  <c r="D16" i="4"/>
  <c r="G9" i="4"/>
  <c r="F9" i="4"/>
  <c r="K9" i="4" s="1"/>
  <c r="E9" i="4"/>
  <c r="D9" i="4"/>
  <c r="G8" i="4"/>
  <c r="F8" i="4"/>
  <c r="K8" i="4" s="1"/>
  <c r="E8" i="4"/>
  <c r="D8" i="4"/>
  <c r="G7" i="4"/>
  <c r="F7" i="4"/>
  <c r="E7" i="4"/>
  <c r="D7" i="4"/>
  <c r="H215" i="3"/>
  <c r="O206" i="13" s="1"/>
  <c r="F215" i="3"/>
  <c r="M206" i="13" s="1"/>
  <c r="E215" i="3"/>
  <c r="L206" i="13" s="1"/>
  <c r="D215" i="3"/>
  <c r="K206" i="13" s="1"/>
  <c r="C215" i="3"/>
  <c r="C249" i="3" s="1"/>
  <c r="C31" i="1" s="1"/>
  <c r="G213" i="3"/>
  <c r="G215" i="3" s="1"/>
  <c r="H207" i="3"/>
  <c r="G207" i="3"/>
  <c r="F207" i="3"/>
  <c r="E207" i="3"/>
  <c r="D207" i="3"/>
  <c r="C207" i="3"/>
  <c r="H206" i="3"/>
  <c r="G206" i="3"/>
  <c r="F206" i="3"/>
  <c r="E206" i="3"/>
  <c r="D206" i="3"/>
  <c r="C206" i="3"/>
  <c r="H205" i="3"/>
  <c r="G205" i="3"/>
  <c r="F205" i="3"/>
  <c r="E205" i="3"/>
  <c r="D205" i="3"/>
  <c r="C205" i="3"/>
  <c r="H204" i="3"/>
  <c r="G204" i="3"/>
  <c r="F204" i="3"/>
  <c r="E204" i="3"/>
  <c r="D204" i="3"/>
  <c r="C204" i="3"/>
  <c r="H203" i="3"/>
  <c r="G203" i="3"/>
  <c r="F203" i="3"/>
  <c r="E203" i="3"/>
  <c r="D203" i="3"/>
  <c r="C203" i="3"/>
  <c r="H202" i="3"/>
  <c r="G202" i="3"/>
  <c r="F202" i="3"/>
  <c r="E202" i="3"/>
  <c r="D202" i="3"/>
  <c r="C202" i="3"/>
  <c r="H196" i="3"/>
  <c r="G196" i="3"/>
  <c r="F196" i="3"/>
  <c r="E196" i="3"/>
  <c r="D196" i="3"/>
  <c r="C196" i="3"/>
  <c r="H195" i="3"/>
  <c r="G195" i="3"/>
  <c r="F195" i="3"/>
  <c r="E195" i="3"/>
  <c r="D195" i="3"/>
  <c r="C195" i="3"/>
  <c r="H194" i="3"/>
  <c r="G194" i="3"/>
  <c r="F194" i="3"/>
  <c r="E194" i="3"/>
  <c r="D194" i="3"/>
  <c r="C194" i="3"/>
  <c r="H187" i="3"/>
  <c r="G187" i="3"/>
  <c r="F187" i="3"/>
  <c r="E187" i="3"/>
  <c r="D187" i="3"/>
  <c r="C187" i="3"/>
  <c r="H185" i="3"/>
  <c r="G185" i="3"/>
  <c r="F185" i="3"/>
  <c r="E185" i="3"/>
  <c r="D185" i="3"/>
  <c r="C185" i="3"/>
  <c r="H178" i="3"/>
  <c r="G178" i="3"/>
  <c r="F178" i="3"/>
  <c r="E178" i="3"/>
  <c r="D178" i="3"/>
  <c r="C178" i="3"/>
  <c r="H177" i="3"/>
  <c r="G177" i="3"/>
  <c r="F177" i="3"/>
  <c r="E177" i="3"/>
  <c r="D177" i="3"/>
  <c r="C177" i="3"/>
  <c r="H176" i="3"/>
  <c r="G176" i="3"/>
  <c r="F176" i="3"/>
  <c r="E176" i="3"/>
  <c r="D176" i="3"/>
  <c r="C176" i="3"/>
  <c r="H170" i="3"/>
  <c r="H171" i="3" s="1"/>
  <c r="H26" i="1" s="1"/>
  <c r="G170" i="3"/>
  <c r="G171" i="3" s="1"/>
  <c r="G26" i="1" s="1"/>
  <c r="E170" i="3"/>
  <c r="E171" i="3" s="1"/>
  <c r="E26" i="1" s="1"/>
  <c r="D170" i="3"/>
  <c r="D171" i="3" s="1"/>
  <c r="C170" i="3"/>
  <c r="C171" i="3" s="1"/>
  <c r="C26" i="1" s="1"/>
  <c r="H164" i="3"/>
  <c r="G164" i="3"/>
  <c r="F164" i="3"/>
  <c r="E164" i="3"/>
  <c r="D164" i="3"/>
  <c r="C164" i="3"/>
  <c r="H163" i="3"/>
  <c r="G163" i="3"/>
  <c r="F163" i="3"/>
  <c r="E163" i="3"/>
  <c r="D163" i="3"/>
  <c r="C163" i="3"/>
  <c r="H162" i="3"/>
  <c r="G162" i="3"/>
  <c r="F162" i="3"/>
  <c r="E162" i="3"/>
  <c r="D162" i="3"/>
  <c r="C162" i="3"/>
  <c r="H156" i="3"/>
  <c r="G156" i="3"/>
  <c r="F156" i="3"/>
  <c r="E156" i="3"/>
  <c r="D156" i="3"/>
  <c r="C156" i="3"/>
  <c r="H155" i="3"/>
  <c r="G155" i="3"/>
  <c r="F155" i="3"/>
  <c r="E155" i="3"/>
  <c r="D155" i="3"/>
  <c r="C155" i="3"/>
  <c r="H154" i="3"/>
  <c r="G154" i="3"/>
  <c r="F154" i="3"/>
  <c r="E154" i="3"/>
  <c r="D154" i="3"/>
  <c r="C154" i="3"/>
  <c r="H147" i="3"/>
  <c r="G147" i="3"/>
  <c r="E147" i="3"/>
  <c r="D147" i="3"/>
  <c r="C147" i="3"/>
  <c r="H144" i="3"/>
  <c r="G144" i="3"/>
  <c r="F144" i="3"/>
  <c r="E144" i="3"/>
  <c r="D144" i="3"/>
  <c r="C144" i="3"/>
  <c r="H143" i="3"/>
  <c r="G143" i="3"/>
  <c r="F143" i="3"/>
  <c r="E143" i="3"/>
  <c r="D143" i="3"/>
  <c r="C143" i="3"/>
  <c r="H142" i="3"/>
  <c r="G142" i="3"/>
  <c r="F142" i="3"/>
  <c r="E142" i="3"/>
  <c r="D142" i="3"/>
  <c r="C142" i="3"/>
  <c r="H141" i="3"/>
  <c r="G141" i="3"/>
  <c r="F141" i="3"/>
  <c r="E141" i="3"/>
  <c r="D141" i="3"/>
  <c r="C141" i="3"/>
  <c r="H140" i="3"/>
  <c r="G140" i="3"/>
  <c r="F140" i="3"/>
  <c r="E140" i="3"/>
  <c r="D140" i="3"/>
  <c r="C140" i="3"/>
  <c r="H139" i="3"/>
  <c r="G139" i="3"/>
  <c r="F139" i="3"/>
  <c r="E139" i="3"/>
  <c r="D139" i="3"/>
  <c r="C139" i="3"/>
  <c r="H138" i="3"/>
  <c r="G138" i="3"/>
  <c r="F138" i="3"/>
  <c r="E138" i="3"/>
  <c r="D138" i="3"/>
  <c r="C138" i="3"/>
  <c r="H137" i="3"/>
  <c r="G137" i="3"/>
  <c r="F137" i="3"/>
  <c r="E137" i="3"/>
  <c r="D137" i="3"/>
  <c r="C137" i="3"/>
  <c r="H136" i="3"/>
  <c r="G136" i="3"/>
  <c r="F136" i="3"/>
  <c r="E136" i="3"/>
  <c r="D136" i="3"/>
  <c r="C136" i="3"/>
  <c r="H134" i="3"/>
  <c r="G134" i="3"/>
  <c r="F134" i="3"/>
  <c r="E134" i="3"/>
  <c r="D134" i="3"/>
  <c r="C134" i="3"/>
  <c r="H133" i="3"/>
  <c r="G133" i="3"/>
  <c r="F133" i="3"/>
  <c r="E133" i="3"/>
  <c r="D133" i="3"/>
  <c r="C133" i="3"/>
  <c r="H127" i="3"/>
  <c r="G127" i="3"/>
  <c r="F127" i="3"/>
  <c r="E127" i="3"/>
  <c r="D127" i="3"/>
  <c r="C127" i="3"/>
  <c r="H126" i="3"/>
  <c r="G126" i="3"/>
  <c r="F126" i="3"/>
  <c r="E126" i="3"/>
  <c r="D126" i="3"/>
  <c r="C126" i="3"/>
  <c r="H120" i="3"/>
  <c r="G120" i="3"/>
  <c r="F120" i="3"/>
  <c r="E120" i="3"/>
  <c r="D120" i="3"/>
  <c r="C120" i="3"/>
  <c r="H119" i="3"/>
  <c r="G119" i="3"/>
  <c r="F119" i="3"/>
  <c r="E119" i="3"/>
  <c r="D119" i="3"/>
  <c r="C119" i="3"/>
  <c r="H118" i="3"/>
  <c r="G118" i="3"/>
  <c r="F118" i="3"/>
  <c r="E118" i="3"/>
  <c r="D118" i="3"/>
  <c r="C118" i="3"/>
  <c r="H117" i="3"/>
  <c r="G117" i="3"/>
  <c r="F117" i="3"/>
  <c r="E117" i="3"/>
  <c r="D117" i="3"/>
  <c r="C117" i="3"/>
  <c r="H116" i="3"/>
  <c r="G116" i="3"/>
  <c r="F116" i="3"/>
  <c r="E116" i="3"/>
  <c r="D116" i="3"/>
  <c r="C116" i="3"/>
  <c r="H109" i="3"/>
  <c r="F109" i="3"/>
  <c r="E109" i="3"/>
  <c r="H108" i="3"/>
  <c r="G108" i="3"/>
  <c r="F108" i="3"/>
  <c r="E108" i="3"/>
  <c r="D108" i="3"/>
  <c r="C108" i="3"/>
  <c r="H101" i="3"/>
  <c r="G101" i="3"/>
  <c r="E101" i="3"/>
  <c r="D101" i="3"/>
  <c r="C101" i="3"/>
  <c r="H100" i="3"/>
  <c r="G100" i="3"/>
  <c r="F100" i="3"/>
  <c r="E100" i="3"/>
  <c r="D100" i="3"/>
  <c r="C100" i="3"/>
  <c r="H99" i="3"/>
  <c r="G99" i="3"/>
  <c r="F99" i="3"/>
  <c r="E99" i="3"/>
  <c r="D99" i="3"/>
  <c r="C99" i="3"/>
  <c r="H93" i="3"/>
  <c r="H94" i="3" s="1"/>
  <c r="H13" i="1" s="1"/>
  <c r="G93" i="3"/>
  <c r="G94" i="3" s="1"/>
  <c r="G13" i="1" s="1"/>
  <c r="F93" i="3"/>
  <c r="F94" i="3" s="1"/>
  <c r="F13" i="1" s="1"/>
  <c r="E93" i="3"/>
  <c r="E94" i="3" s="1"/>
  <c r="E13" i="1" s="1"/>
  <c r="D93" i="3"/>
  <c r="D94" i="3" s="1"/>
  <c r="D13" i="1" s="1"/>
  <c r="C93" i="3"/>
  <c r="C94" i="3" s="1"/>
  <c r="C13" i="1" s="1"/>
  <c r="H86" i="3"/>
  <c r="G86" i="3"/>
  <c r="F86" i="3"/>
  <c r="E86" i="3"/>
  <c r="D86" i="3"/>
  <c r="C86" i="3"/>
  <c r="H85" i="3"/>
  <c r="G85" i="3"/>
  <c r="F85" i="3"/>
  <c r="E85" i="3"/>
  <c r="D85" i="3"/>
  <c r="C85" i="3"/>
  <c r="H84" i="3"/>
  <c r="G84" i="3"/>
  <c r="F84" i="3"/>
  <c r="E84" i="3"/>
  <c r="D84" i="3"/>
  <c r="C84" i="3"/>
  <c r="H78" i="3"/>
  <c r="G78" i="3"/>
  <c r="F78" i="3"/>
  <c r="E78" i="3"/>
  <c r="D78" i="3"/>
  <c r="C78" i="3"/>
  <c r="H77" i="3"/>
  <c r="G77" i="3"/>
  <c r="F77" i="3"/>
  <c r="E77" i="3"/>
  <c r="D77" i="3"/>
  <c r="C77" i="3"/>
  <c r="H76" i="3"/>
  <c r="G76" i="3"/>
  <c r="F76" i="3"/>
  <c r="E76" i="3"/>
  <c r="D76" i="3"/>
  <c r="C76" i="3"/>
  <c r="H69" i="3"/>
  <c r="G69" i="3"/>
  <c r="F69" i="3"/>
  <c r="E69" i="3"/>
  <c r="D69" i="3"/>
  <c r="C69" i="3"/>
  <c r="H68" i="3"/>
  <c r="G68" i="3"/>
  <c r="F68" i="3"/>
  <c r="E68" i="3"/>
  <c r="D68" i="3"/>
  <c r="C68" i="3"/>
  <c r="H67" i="3"/>
  <c r="G67" i="3"/>
  <c r="F67" i="3"/>
  <c r="E67" i="3"/>
  <c r="D67" i="3"/>
  <c r="C67" i="3"/>
  <c r="H66" i="3"/>
  <c r="G66" i="3"/>
  <c r="F66" i="3"/>
  <c r="E66" i="3"/>
  <c r="D66" i="3"/>
  <c r="C66" i="3"/>
  <c r="H60" i="3"/>
  <c r="G60" i="3"/>
  <c r="F60" i="3"/>
  <c r="E60" i="3"/>
  <c r="D60" i="3"/>
  <c r="C60" i="3"/>
  <c r="H59" i="3"/>
  <c r="G59" i="3"/>
  <c r="F59" i="3"/>
  <c r="E59" i="3"/>
  <c r="D59" i="3"/>
  <c r="C59" i="3"/>
  <c r="H58" i="3"/>
  <c r="G58" i="3"/>
  <c r="F58" i="3"/>
  <c r="E58" i="3"/>
  <c r="D58" i="3"/>
  <c r="C58" i="3"/>
  <c r="H57" i="3"/>
  <c r="G57" i="3"/>
  <c r="F57" i="3"/>
  <c r="E57" i="3"/>
  <c r="D57" i="3"/>
  <c r="C57" i="3"/>
  <c r="H56" i="3"/>
  <c r="G56" i="3"/>
  <c r="F56" i="3"/>
  <c r="E56" i="3"/>
  <c r="D56" i="3"/>
  <c r="C56" i="3"/>
  <c r="H55" i="3"/>
  <c r="G55" i="3"/>
  <c r="F55" i="3"/>
  <c r="E55" i="3"/>
  <c r="D55" i="3"/>
  <c r="C55" i="3"/>
  <c r="H48" i="3"/>
  <c r="H50" i="3" s="1"/>
  <c r="G48" i="3"/>
  <c r="G50" i="3" s="1"/>
  <c r="F48" i="3"/>
  <c r="E48" i="3"/>
  <c r="D48" i="3"/>
  <c r="C48" i="3"/>
  <c r="H42" i="3"/>
  <c r="H43" i="3" s="1"/>
  <c r="H17" i="1" s="1"/>
  <c r="G42" i="3"/>
  <c r="G43" i="3" s="1"/>
  <c r="G17" i="1" s="1"/>
  <c r="F42" i="3"/>
  <c r="F43" i="3" s="1"/>
  <c r="F17" i="1" s="1"/>
  <c r="E42" i="3"/>
  <c r="E43" i="3" s="1"/>
  <c r="E17" i="1" s="1"/>
  <c r="D42" i="3"/>
  <c r="D43" i="3" s="1"/>
  <c r="D17" i="1" s="1"/>
  <c r="C42" i="3"/>
  <c r="C43" i="3" s="1"/>
  <c r="C17" i="1" s="1"/>
  <c r="H37" i="3"/>
  <c r="D37" i="3"/>
  <c r="C37" i="3"/>
  <c r="C18" i="1" s="1"/>
  <c r="H30" i="3"/>
  <c r="H31" i="3" s="1"/>
  <c r="G30" i="3"/>
  <c r="G31" i="3" s="1"/>
  <c r="F30" i="3"/>
  <c r="F31" i="3" s="1"/>
  <c r="M36" i="13" s="1"/>
  <c r="E30" i="3"/>
  <c r="D30" i="3"/>
  <c r="D31" i="3" s="1"/>
  <c r="C30" i="3"/>
  <c r="C31" i="3" s="1"/>
  <c r="H23" i="3"/>
  <c r="H24" i="3" s="1"/>
  <c r="G23" i="3"/>
  <c r="G24" i="3" s="1"/>
  <c r="G16" i="1" s="1"/>
  <c r="F23" i="3"/>
  <c r="F24" i="3" s="1"/>
  <c r="F16" i="1" s="1"/>
  <c r="E23" i="3"/>
  <c r="E24" i="3" s="1"/>
  <c r="E16" i="1" s="1"/>
  <c r="D23" i="3"/>
  <c r="D24" i="3" s="1"/>
  <c r="C23" i="3"/>
  <c r="C24" i="3" s="1"/>
  <c r="C16" i="1" s="1"/>
  <c r="H16" i="3"/>
  <c r="G16" i="3"/>
  <c r="F16" i="3"/>
  <c r="E16" i="3"/>
  <c r="D16" i="3"/>
  <c r="C16" i="3"/>
  <c r="H15" i="3"/>
  <c r="G15" i="3"/>
  <c r="F15" i="3"/>
  <c r="E15" i="3"/>
  <c r="D15" i="3"/>
  <c r="C15" i="3"/>
  <c r="H14" i="3"/>
  <c r="G14" i="3"/>
  <c r="F14" i="3"/>
  <c r="E14" i="3"/>
  <c r="D14" i="3"/>
  <c r="C14" i="3"/>
  <c r="H8" i="3"/>
  <c r="H9" i="3" s="1"/>
  <c r="H15" i="1" s="1"/>
  <c r="G8" i="3"/>
  <c r="G9" i="3" s="1"/>
  <c r="G15" i="1" s="1"/>
  <c r="F8" i="3"/>
  <c r="F9" i="3" s="1"/>
  <c r="F15" i="1" s="1"/>
  <c r="E8" i="3"/>
  <c r="E9" i="3" s="1"/>
  <c r="E15" i="1" s="1"/>
  <c r="D8" i="3"/>
  <c r="D9" i="3" s="1"/>
  <c r="D15" i="1" s="1"/>
  <c r="C8" i="3"/>
  <c r="C9" i="3" s="1"/>
  <c r="C15" i="1" s="1"/>
  <c r="H44" i="2"/>
  <c r="F44" i="2"/>
  <c r="E44" i="2"/>
  <c r="D44" i="2"/>
  <c r="K620" i="4" l="1"/>
  <c r="K635" i="4"/>
  <c r="K638" i="4"/>
  <c r="G74" i="18"/>
  <c r="K305" i="4"/>
  <c r="K427" i="4"/>
  <c r="K349" i="4"/>
  <c r="K352" i="4"/>
  <c r="K355" i="4"/>
  <c r="K359" i="4"/>
  <c r="K364" i="4"/>
  <c r="K368" i="4"/>
  <c r="K507" i="4"/>
  <c r="K512" i="4"/>
  <c r="K523" i="4"/>
  <c r="K528" i="4"/>
  <c r="K531" i="4"/>
  <c r="K535" i="4"/>
  <c r="K538" i="4"/>
  <c r="K7" i="4"/>
  <c r="K16" i="4"/>
  <c r="K31" i="4"/>
  <c r="K34" i="4"/>
  <c r="K37" i="4"/>
  <c r="K41" i="4"/>
  <c r="K48" i="4"/>
  <c r="K51" i="4"/>
  <c r="K55" i="4"/>
  <c r="K63" i="4"/>
  <c r="K66" i="4"/>
  <c r="K69" i="4"/>
  <c r="K78" i="4"/>
  <c r="K82" i="4"/>
  <c r="K85" i="4"/>
  <c r="K88" i="4"/>
  <c r="K385" i="4"/>
  <c r="K389" i="4"/>
  <c r="K398" i="4"/>
  <c r="K407" i="4"/>
  <c r="K443" i="4"/>
  <c r="K448" i="4"/>
  <c r="K458" i="4"/>
  <c r="K463" i="4"/>
  <c r="K466" i="4"/>
  <c r="K477" i="4"/>
  <c r="K480" i="4"/>
  <c r="K483" i="4"/>
  <c r="K486" i="4"/>
  <c r="K642" i="4"/>
  <c r="K569" i="4"/>
  <c r="K575" i="4"/>
  <c r="K607" i="4"/>
  <c r="K629" i="4"/>
  <c r="K632" i="4"/>
  <c r="K137" i="4"/>
  <c r="K182" i="4"/>
  <c r="K185" i="4"/>
  <c r="K189" i="4"/>
  <c r="K192" i="4"/>
  <c r="K204" i="4"/>
  <c r="K210" i="4"/>
  <c r="K258" i="4"/>
  <c r="K273" i="4"/>
  <c r="K277" i="4"/>
  <c r="K282" i="4"/>
  <c r="K285" i="4"/>
  <c r="K290" i="4"/>
  <c r="K298" i="4"/>
  <c r="K301" i="4"/>
  <c r="K325" i="4"/>
  <c r="K338" i="4"/>
  <c r="K346" i="4"/>
  <c r="K350" i="4"/>
  <c r="K353" i="4"/>
  <c r="K356" i="4"/>
  <c r="K361" i="4"/>
  <c r="K365" i="4"/>
  <c r="K369" i="4"/>
  <c r="K505" i="4"/>
  <c r="K509" i="4"/>
  <c r="K519" i="4"/>
  <c r="K526" i="4"/>
  <c r="K529" i="4"/>
  <c r="K536" i="4"/>
  <c r="K540" i="4"/>
  <c r="K556" i="4"/>
  <c r="K570" i="4"/>
  <c r="K580" i="4"/>
  <c r="K135" i="4"/>
  <c r="K49" i="4"/>
  <c r="K52" i="4"/>
  <c r="K61" i="4"/>
  <c r="K67" i="4"/>
  <c r="K75" i="4"/>
  <c r="K79" i="4"/>
  <c r="K83" i="4"/>
  <c r="K86" i="4"/>
  <c r="K89" i="4"/>
  <c r="G31" i="7"/>
  <c r="K134" i="4"/>
  <c r="K133" i="4"/>
  <c r="K153" i="4"/>
  <c r="K373" i="4"/>
  <c r="K377" i="4"/>
  <c r="K380" i="4"/>
  <c r="K586" i="4"/>
  <c r="K594" i="4"/>
  <c r="K597" i="4"/>
  <c r="K602" i="4"/>
  <c r="K605" i="4"/>
  <c r="K132" i="4"/>
  <c r="F146" i="4"/>
  <c r="K144" i="4"/>
  <c r="K259" i="4"/>
  <c r="K275" i="4"/>
  <c r="K279" i="4"/>
  <c r="K283" i="4"/>
  <c r="K288" i="4"/>
  <c r="K291" i="4"/>
  <c r="K299" i="4"/>
  <c r="K302" i="4"/>
  <c r="K326" i="4"/>
  <c r="K344" i="4"/>
  <c r="K347" i="4"/>
  <c r="K351" i="4"/>
  <c r="K354" i="4"/>
  <c r="K358" i="4"/>
  <c r="K362" i="4"/>
  <c r="K367" i="4"/>
  <c r="K370" i="4"/>
  <c r="K482" i="4"/>
  <c r="F497" i="4"/>
  <c r="K494" i="4"/>
  <c r="K506" i="4"/>
  <c r="K511" i="4"/>
  <c r="K527" i="4"/>
  <c r="K530" i="4"/>
  <c r="K534" i="4"/>
  <c r="K537" i="4"/>
  <c r="K548" i="4"/>
  <c r="K562" i="4"/>
  <c r="K566" i="4"/>
  <c r="K572" i="4"/>
  <c r="K577" i="4"/>
  <c r="K181" i="4"/>
  <c r="K131" i="4"/>
  <c r="A2" i="10"/>
  <c r="A3" i="11" s="1"/>
  <c r="A2" i="12" s="1"/>
  <c r="A2" i="22"/>
  <c r="K532" i="4"/>
  <c r="K564" i="4"/>
  <c r="K520" i="4"/>
  <c r="K209" i="4"/>
  <c r="K116" i="4"/>
  <c r="K102" i="4"/>
  <c r="K64" i="4"/>
  <c r="K45" i="4"/>
  <c r="H100" i="7"/>
  <c r="H212" i="7" s="1"/>
  <c r="H31" i="7"/>
  <c r="G143" i="7"/>
  <c r="D31" i="7"/>
  <c r="D202" i="7" s="1"/>
  <c r="H59" i="7"/>
  <c r="F170" i="7"/>
  <c r="D114" i="7"/>
  <c r="D214" i="7" s="1"/>
  <c r="H170" i="7"/>
  <c r="H39" i="7"/>
  <c r="H203" i="7" s="1"/>
  <c r="G613" i="14"/>
  <c r="G575" i="14"/>
  <c r="F367" i="14"/>
  <c r="F519" i="14"/>
  <c r="E367" i="14"/>
  <c r="E519" i="14"/>
  <c r="C367" i="14"/>
  <c r="C519" i="14"/>
  <c r="D367" i="14"/>
  <c r="D519" i="14"/>
  <c r="H367" i="14"/>
  <c r="H519" i="14"/>
  <c r="G367" i="14"/>
  <c r="G519" i="14"/>
  <c r="C71" i="13"/>
  <c r="C50" i="13"/>
  <c r="C51" i="13" s="1"/>
  <c r="C222" i="13" s="1"/>
  <c r="H69" i="13"/>
  <c r="H50" i="13"/>
  <c r="G50" i="13"/>
  <c r="D50" i="13"/>
  <c r="F69" i="13"/>
  <c r="F50" i="13"/>
  <c r="E50" i="13"/>
  <c r="F50" i="3"/>
  <c r="F9" i="1" s="1"/>
  <c r="E50" i="3"/>
  <c r="L51" i="13" s="1"/>
  <c r="D50" i="3"/>
  <c r="D9" i="1" s="1"/>
  <c r="C50" i="3"/>
  <c r="C9" i="1" s="1"/>
  <c r="E265" i="5"/>
  <c r="D265" i="5"/>
  <c r="D127" i="7"/>
  <c r="D136" i="13" s="1"/>
  <c r="C265" i="5"/>
  <c r="H265" i="5"/>
  <c r="G265" i="5"/>
  <c r="C41" i="12" s="1"/>
  <c r="G127" i="7"/>
  <c r="G136" i="13" s="1"/>
  <c r="G188" i="8"/>
  <c r="G610" i="8" s="1"/>
  <c r="C851" i="6"/>
  <c r="D9" i="10"/>
  <c r="G59" i="7"/>
  <c r="G205" i="7" s="1"/>
  <c r="J205" i="7" s="1"/>
  <c r="K205" i="7" s="1"/>
  <c r="H267" i="4"/>
  <c r="H653" i="14" s="1"/>
  <c r="E836" i="6"/>
  <c r="E851" i="6"/>
  <c r="E854" i="6"/>
  <c r="E860" i="6"/>
  <c r="G267" i="4"/>
  <c r="F267" i="4"/>
  <c r="K267" i="4" s="1"/>
  <c r="G14" i="16"/>
  <c r="E867" i="6"/>
  <c r="E863" i="6"/>
  <c r="E832" i="6"/>
  <c r="E26" i="4"/>
  <c r="E767" i="4" s="1"/>
  <c r="C25" i="14"/>
  <c r="E267" i="4"/>
  <c r="H26" i="4"/>
  <c r="H639" i="14" s="1"/>
  <c r="D267" i="4"/>
  <c r="F828" i="6"/>
  <c r="D456" i="14"/>
  <c r="G456" i="14"/>
  <c r="G26" i="4"/>
  <c r="G767" i="4" s="1"/>
  <c r="D26" i="4"/>
  <c r="F822" i="6"/>
  <c r="D520" i="14"/>
  <c r="C520" i="14"/>
  <c r="C267" i="4"/>
  <c r="H167" i="14"/>
  <c r="C456" i="14"/>
  <c r="D167" i="14"/>
  <c r="H520" i="14"/>
  <c r="G520" i="14"/>
  <c r="E865" i="6"/>
  <c r="E848" i="6"/>
  <c r="D613" i="4"/>
  <c r="G613" i="4"/>
  <c r="G799" i="4" s="1"/>
  <c r="D452" i="4"/>
  <c r="D661" i="14" s="1"/>
  <c r="H118" i="4"/>
  <c r="H773" i="4" s="1"/>
  <c r="G118" i="4"/>
  <c r="G773" i="4" s="1"/>
  <c r="F452" i="4"/>
  <c r="H452" i="4"/>
  <c r="H661" i="14" s="1"/>
  <c r="G664" i="14"/>
  <c r="G792" i="4"/>
  <c r="F26" i="4"/>
  <c r="F118" i="4"/>
  <c r="F773" i="4" s="1"/>
  <c r="E452" i="4"/>
  <c r="C452" i="4"/>
  <c r="C661" i="14" s="1"/>
  <c r="E118" i="4"/>
  <c r="E613" i="4"/>
  <c r="G703" i="4"/>
  <c r="C613" i="4"/>
  <c r="G668" i="14"/>
  <c r="G796" i="4"/>
  <c r="H613" i="4"/>
  <c r="H671" i="14" s="1"/>
  <c r="G651" i="14"/>
  <c r="G777" i="4"/>
  <c r="G452" i="4"/>
  <c r="G789" i="4" s="1"/>
  <c r="G757" i="4"/>
  <c r="G803" i="4" s="1"/>
  <c r="D118" i="4"/>
  <c r="D773" i="4" s="1"/>
  <c r="E100" i="7"/>
  <c r="E212" i="7" s="1"/>
  <c r="O17" i="13"/>
  <c r="H16" i="1"/>
  <c r="O51" i="13"/>
  <c r="H9" i="1"/>
  <c r="D100" i="7"/>
  <c r="K17" i="13"/>
  <c r="D16" i="1"/>
  <c r="K165" i="13"/>
  <c r="K166" i="13" s="1"/>
  <c r="D26" i="1"/>
  <c r="D59" i="7"/>
  <c r="D205" i="7" s="1"/>
  <c r="E65" i="7"/>
  <c r="I140" i="5"/>
  <c r="F264" i="5"/>
  <c r="F127" i="7"/>
  <c r="F136" i="13" s="1"/>
  <c r="I186" i="5"/>
  <c r="F266" i="5"/>
  <c r="F268" i="5"/>
  <c r="F269" i="5"/>
  <c r="F243" i="5"/>
  <c r="F244" i="5"/>
  <c r="F245" i="5"/>
  <c r="F256" i="5"/>
  <c r="F247" i="5"/>
  <c r="F248" i="5"/>
  <c r="F76" i="7"/>
  <c r="F77" i="7" s="1"/>
  <c r="F208" i="7" s="1"/>
  <c r="F251" i="5"/>
  <c r="M130" i="14"/>
  <c r="F647" i="14"/>
  <c r="G111" i="3"/>
  <c r="G20" i="1" s="1"/>
  <c r="M207" i="13"/>
  <c r="H304" i="14"/>
  <c r="G304" i="14"/>
  <c r="F304" i="14"/>
  <c r="E304" i="14"/>
  <c r="E321" i="14" s="1"/>
  <c r="D304" i="14"/>
  <c r="D321" i="14" s="1"/>
  <c r="C304" i="14"/>
  <c r="C321" i="14" s="1"/>
  <c r="H838" i="6"/>
  <c r="I11" i="16"/>
  <c r="H832" i="6"/>
  <c r="I15" i="16"/>
  <c r="H860" i="6"/>
  <c r="I13" i="16"/>
  <c r="H861" i="6"/>
  <c r="I14" i="16"/>
  <c r="H830" i="6"/>
  <c r="I10" i="16"/>
  <c r="H848" i="6"/>
  <c r="I12" i="16"/>
  <c r="H849" i="6"/>
  <c r="I28" i="16"/>
  <c r="H867" i="6"/>
  <c r="I16" i="16"/>
  <c r="G36" i="14"/>
  <c r="G402" i="14"/>
  <c r="G412" i="14" s="1"/>
  <c r="G488" i="14"/>
  <c r="D39" i="7"/>
  <c r="D203" i="7" s="1"/>
  <c r="F327" i="14"/>
  <c r="F331" i="14" s="1"/>
  <c r="F206" i="14"/>
  <c r="F71" i="14"/>
  <c r="E172" i="14"/>
  <c r="E181" i="14" s="1"/>
  <c r="F537" i="14"/>
  <c r="F395" i="14"/>
  <c r="G92" i="14"/>
  <c r="G94" i="14" s="1"/>
  <c r="H539" i="14"/>
  <c r="H547" i="14" s="1"/>
  <c r="E69" i="14"/>
  <c r="E368" i="14"/>
  <c r="E206" i="14"/>
  <c r="F441" i="14"/>
  <c r="F456" i="14" s="1"/>
  <c r="G482" i="14"/>
  <c r="H444" i="14"/>
  <c r="H456" i="14" s="1"/>
  <c r="F268" i="14"/>
  <c r="F56" i="14"/>
  <c r="F64" i="14" s="1"/>
  <c r="C70" i="3"/>
  <c r="E111" i="3"/>
  <c r="F42" i="8"/>
  <c r="F602" i="8" s="1"/>
  <c r="E505" i="14"/>
  <c r="E520" i="14" s="1"/>
  <c r="G277" i="14"/>
  <c r="G23" i="8"/>
  <c r="G601" i="8" s="1"/>
  <c r="G16" i="13"/>
  <c r="G17" i="13" s="1"/>
  <c r="G218" i="13" s="1"/>
  <c r="G17" i="7"/>
  <c r="E49" i="13"/>
  <c r="E114" i="7"/>
  <c r="E214" i="7" s="1"/>
  <c r="E138" i="13"/>
  <c r="E143" i="7"/>
  <c r="D138" i="13"/>
  <c r="D143" i="7"/>
  <c r="E16" i="13"/>
  <c r="E17" i="13" s="1"/>
  <c r="E218" i="13" s="1"/>
  <c r="E17" i="7"/>
  <c r="D9" i="13"/>
  <c r="D10" i="13" s="1"/>
  <c r="D216" i="13" s="1"/>
  <c r="D52" i="7"/>
  <c r="D204" i="7" s="1"/>
  <c r="G105" i="13"/>
  <c r="G83" i="7"/>
  <c r="G209" i="7" s="1"/>
  <c r="J209" i="7" s="1"/>
  <c r="K209" i="7" s="1"/>
  <c r="F143" i="13"/>
  <c r="F100" i="7"/>
  <c r="C137" i="13"/>
  <c r="C170" i="7"/>
  <c r="D111" i="3"/>
  <c r="C111" i="3"/>
  <c r="E151" i="13"/>
  <c r="E135" i="7"/>
  <c r="E216" i="7" s="1"/>
  <c r="E9" i="13"/>
  <c r="E10" i="13" s="1"/>
  <c r="E216" i="13" s="1"/>
  <c r="E52" i="7"/>
  <c r="E204" i="7" s="1"/>
  <c r="F37" i="3"/>
  <c r="M23" i="13" s="1"/>
  <c r="D16" i="13"/>
  <c r="D17" i="13" s="1"/>
  <c r="D218" i="13" s="1"/>
  <c r="D17" i="7"/>
  <c r="H56" i="13"/>
  <c r="H61" i="13" s="1"/>
  <c r="H223" i="13" s="1"/>
  <c r="H24" i="7"/>
  <c r="H106" i="7"/>
  <c r="H213" i="7" s="1"/>
  <c r="H151" i="13"/>
  <c r="H135" i="7"/>
  <c r="H216" i="7" s="1"/>
  <c r="H138" i="13"/>
  <c r="H143" i="7"/>
  <c r="G106" i="7"/>
  <c r="G213" i="7" s="1"/>
  <c r="J213" i="7" s="1"/>
  <c r="K213" i="7" s="1"/>
  <c r="F17" i="7"/>
  <c r="H111" i="3"/>
  <c r="H20" i="1" s="1"/>
  <c r="F255" i="8"/>
  <c r="F615" i="8" s="1"/>
  <c r="F149" i="13"/>
  <c r="F39" i="7"/>
  <c r="F9" i="13"/>
  <c r="F10" i="13" s="1"/>
  <c r="F216" i="13" s="1"/>
  <c r="F52" i="7"/>
  <c r="F204" i="7" s="1"/>
  <c r="E137" i="13"/>
  <c r="E170" i="7"/>
  <c r="E220" i="7" s="1"/>
  <c r="D56" i="13"/>
  <c r="D61" i="13" s="1"/>
  <c r="D223" i="13" s="1"/>
  <c r="D24" i="7"/>
  <c r="D201" i="7" s="1"/>
  <c r="H105" i="13"/>
  <c r="H83" i="7"/>
  <c r="H209" i="7" s="1"/>
  <c r="G143" i="13"/>
  <c r="G100" i="7"/>
  <c r="G212" i="7" s="1"/>
  <c r="J212" i="7" s="1"/>
  <c r="K212" i="7" s="1"/>
  <c r="E37" i="3"/>
  <c r="E229" i="3" s="1"/>
  <c r="H9" i="13"/>
  <c r="H10" i="13" s="1"/>
  <c r="H216" i="13" s="1"/>
  <c r="H52" i="7"/>
  <c r="F171" i="13"/>
  <c r="F173" i="13" s="1"/>
  <c r="F236" i="13" s="1"/>
  <c r="F59" i="7"/>
  <c r="E105" i="13"/>
  <c r="E83" i="7"/>
  <c r="E209" i="7" s="1"/>
  <c r="G49" i="13"/>
  <c r="G114" i="7"/>
  <c r="G151" i="13"/>
  <c r="G135" i="7"/>
  <c r="G216" i="7" s="1"/>
  <c r="J216" i="7" s="1"/>
  <c r="K216" i="7" s="1"/>
  <c r="G137" i="13"/>
  <c r="G170" i="7"/>
  <c r="G220" i="7" s="1"/>
  <c r="J220" i="7" s="1"/>
  <c r="K220" i="7" s="1"/>
  <c r="E91" i="13"/>
  <c r="E92" i="13" s="1"/>
  <c r="E228" i="13" s="1"/>
  <c r="E31" i="7"/>
  <c r="E202" i="7" s="1"/>
  <c r="D151" i="13"/>
  <c r="D135" i="7"/>
  <c r="D216" i="7" s="1"/>
  <c r="H16" i="13"/>
  <c r="H17" i="13" s="1"/>
  <c r="H218" i="13" s="1"/>
  <c r="H17" i="7"/>
  <c r="H200" i="7" s="1"/>
  <c r="G149" i="13"/>
  <c r="G39" i="7"/>
  <c r="G203" i="7" s="1"/>
  <c r="J203" i="7" s="1"/>
  <c r="K203" i="7" s="1"/>
  <c r="G9" i="13"/>
  <c r="G10" i="13" s="1"/>
  <c r="G216" i="13" s="1"/>
  <c r="G52" i="7"/>
  <c r="G204" i="7" s="1"/>
  <c r="J204" i="7" s="1"/>
  <c r="K204" i="7" s="1"/>
  <c r="E171" i="13"/>
  <c r="E173" i="13" s="1"/>
  <c r="E236" i="13" s="1"/>
  <c r="E59" i="7"/>
  <c r="E205" i="7" s="1"/>
  <c r="E106" i="13"/>
  <c r="E106" i="7"/>
  <c r="E213" i="7" s="1"/>
  <c r="F49" i="13"/>
  <c r="F114" i="7"/>
  <c r="F151" i="13"/>
  <c r="F135" i="7"/>
  <c r="F216" i="7" s="1"/>
  <c r="D106" i="7"/>
  <c r="D213" i="7" s="1"/>
  <c r="F111" i="3"/>
  <c r="C362" i="14"/>
  <c r="G408" i="4"/>
  <c r="G787" i="4" s="1"/>
  <c r="C97" i="4"/>
  <c r="G242" i="14"/>
  <c r="G369" i="8"/>
  <c r="G621" i="8" s="1"/>
  <c r="H265" i="14"/>
  <c r="H23" i="8"/>
  <c r="H601" i="8" s="1"/>
  <c r="H15" i="14"/>
  <c r="H17" i="14" s="1"/>
  <c r="H593" i="8"/>
  <c r="H633" i="8" s="1"/>
  <c r="G267" i="14"/>
  <c r="G58" i="8"/>
  <c r="G603" i="8" s="1"/>
  <c r="F242" i="14"/>
  <c r="F369" i="8"/>
  <c r="F621" i="8" s="1"/>
  <c r="G487" i="14"/>
  <c r="G333" i="8"/>
  <c r="G619" i="8" s="1"/>
  <c r="H487" i="14"/>
  <c r="H333" i="8"/>
  <c r="H619" i="8" s="1"/>
  <c r="H42" i="8"/>
  <c r="H602" i="8" s="1"/>
  <c r="F23" i="8"/>
  <c r="F601" i="8" s="1"/>
  <c r="E42" i="8"/>
  <c r="E602" i="8" s="1"/>
  <c r="E593" i="8"/>
  <c r="E633" i="8" s="1"/>
  <c r="F267" i="14"/>
  <c r="F58" i="8"/>
  <c r="F603" i="8" s="1"/>
  <c r="D23" i="14"/>
  <c r="D25" i="14" s="1"/>
  <c r="F487" i="14"/>
  <c r="F333" i="8"/>
  <c r="F619" i="8" s="1"/>
  <c r="G241" i="14"/>
  <c r="G352" i="8"/>
  <c r="G620" i="8" s="1"/>
  <c r="E242" i="14"/>
  <c r="E369" i="8"/>
  <c r="E621" i="8" s="1"/>
  <c r="D15" i="14"/>
  <c r="D17" i="14" s="1"/>
  <c r="D593" i="8"/>
  <c r="D633" i="8" s="1"/>
  <c r="C41" i="14"/>
  <c r="C255" i="8"/>
  <c r="C615" i="8" s="1"/>
  <c r="D22" i="11" s="1"/>
  <c r="E22" i="11" s="1"/>
  <c r="H267" i="14"/>
  <c r="H58" i="8"/>
  <c r="H603" i="8" s="1"/>
  <c r="H242" i="14"/>
  <c r="H249" i="14" s="1"/>
  <c r="H369" i="8"/>
  <c r="H621" i="8" s="1"/>
  <c r="H41" i="14"/>
  <c r="H51" i="14" s="1"/>
  <c r="H255" i="8"/>
  <c r="H615" i="8" s="1"/>
  <c r="E23" i="8"/>
  <c r="E601" i="8" s="1"/>
  <c r="D42" i="8"/>
  <c r="D602" i="8" s="1"/>
  <c r="G255" i="8"/>
  <c r="G615" i="8" s="1"/>
  <c r="E267" i="14"/>
  <c r="E58" i="8"/>
  <c r="E603" i="8" s="1"/>
  <c r="E487" i="14"/>
  <c r="E333" i="8"/>
  <c r="E619" i="8" s="1"/>
  <c r="F241" i="14"/>
  <c r="F352" i="8"/>
  <c r="F620" i="8" s="1"/>
  <c r="D242" i="14"/>
  <c r="D369" i="8"/>
  <c r="D621" i="8" s="1"/>
  <c r="H23" i="14"/>
  <c r="H25" i="14" s="1"/>
  <c r="D23" i="8"/>
  <c r="D601" i="8" s="1"/>
  <c r="D267" i="14"/>
  <c r="D58" i="8"/>
  <c r="D603" i="8" s="1"/>
  <c r="D487" i="14"/>
  <c r="D333" i="8"/>
  <c r="D619" i="8" s="1"/>
  <c r="E241" i="14"/>
  <c r="E352" i="8"/>
  <c r="E620" i="8" s="1"/>
  <c r="E255" i="8"/>
  <c r="E615" i="8" s="1"/>
  <c r="D41" i="14"/>
  <c r="D51" i="14" s="1"/>
  <c r="D255" i="8"/>
  <c r="D615" i="8" s="1"/>
  <c r="D241" i="14"/>
  <c r="D352" i="8"/>
  <c r="G42" i="8"/>
  <c r="G602" i="8" s="1"/>
  <c r="H362" i="14"/>
  <c r="G181" i="14"/>
  <c r="G362" i="14"/>
  <c r="E362" i="14"/>
  <c r="F362" i="14"/>
  <c r="H181" i="14"/>
  <c r="C181" i="14"/>
  <c r="D362" i="14"/>
  <c r="G41" i="14"/>
  <c r="C551" i="4"/>
  <c r="C667" i="14" s="1"/>
  <c r="C408" i="4"/>
  <c r="C659" i="14" s="1"/>
  <c r="C104" i="4"/>
  <c r="C644" i="14" s="1"/>
  <c r="F435" i="4"/>
  <c r="F199" i="4"/>
  <c r="F649" i="14" s="1"/>
  <c r="C213" i="4"/>
  <c r="C650" i="14" s="1"/>
  <c r="C220" i="4"/>
  <c r="C652" i="14" s="1"/>
  <c r="F165" i="4"/>
  <c r="K165" i="4" s="1"/>
  <c r="C165" i="4"/>
  <c r="E199" i="4"/>
  <c r="G213" i="4"/>
  <c r="C390" i="4"/>
  <c r="C657" i="14" s="1"/>
  <c r="C306" i="4"/>
  <c r="C655" i="14" s="1"/>
  <c r="C293" i="4"/>
  <c r="C654" i="14" s="1"/>
  <c r="C157" i="4"/>
  <c r="C648" i="14" s="1"/>
  <c r="C11" i="4"/>
  <c r="C637" i="14" s="1"/>
  <c r="D199" i="4"/>
  <c r="D649" i="14" s="1"/>
  <c r="F213" i="4"/>
  <c r="C643" i="4"/>
  <c r="C513" i="4"/>
  <c r="C489" i="4"/>
  <c r="C663" i="14" s="1"/>
  <c r="C401" i="4"/>
  <c r="C658" i="14" s="1"/>
  <c r="C118" i="4"/>
  <c r="C645" i="14" s="1"/>
  <c r="C90" i="4"/>
  <c r="H435" i="4"/>
  <c r="H660" i="14" s="1"/>
  <c r="H199" i="4"/>
  <c r="H649" i="14" s="1"/>
  <c r="G435" i="4"/>
  <c r="E213" i="4"/>
  <c r="E650" i="14" s="1"/>
  <c r="D213" i="4"/>
  <c r="C543" i="4"/>
  <c r="C666" i="14" s="1"/>
  <c r="C435" i="4"/>
  <c r="C660" i="14" s="1"/>
  <c r="C339" i="4"/>
  <c r="C656" i="14" s="1"/>
  <c r="C199" i="4"/>
  <c r="C649" i="14" s="1"/>
  <c r="C70" i="4"/>
  <c r="C769" i="4" s="1"/>
  <c r="C470" i="4"/>
  <c r="C662" i="14" s="1"/>
  <c r="H213" i="4"/>
  <c r="H650" i="14" s="1"/>
  <c r="E435" i="4"/>
  <c r="E660" i="14" s="1"/>
  <c r="E165" i="4"/>
  <c r="H165" i="4"/>
  <c r="G199" i="4"/>
  <c r="D435" i="4"/>
  <c r="D660" i="14" s="1"/>
  <c r="C622" i="4"/>
  <c r="C672" i="14" s="1"/>
  <c r="C589" i="4"/>
  <c r="C670" i="14" s="1"/>
  <c r="C581" i="4"/>
  <c r="C669" i="14" s="1"/>
  <c r="C146" i="4"/>
  <c r="C647" i="14" s="1"/>
  <c r="C139" i="4"/>
  <c r="C646" i="14" s="1"/>
  <c r="C18" i="4"/>
  <c r="E46" i="10"/>
  <c r="C56" i="4"/>
  <c r="G293" i="4"/>
  <c r="G782" i="4" s="1"/>
  <c r="G306" i="4"/>
  <c r="G783" i="4" s="1"/>
  <c r="G470" i="4"/>
  <c r="G790" i="4" s="1"/>
  <c r="G622" i="4"/>
  <c r="G513" i="4"/>
  <c r="G793" i="4" s="1"/>
  <c r="G339" i="4"/>
  <c r="G784" i="4" s="1"/>
  <c r="G11" i="4"/>
  <c r="G97" i="4"/>
  <c r="G771" i="4" s="1"/>
  <c r="G551" i="4"/>
  <c r="G795" i="4" s="1"/>
  <c r="G401" i="4"/>
  <c r="G786" i="4" s="1"/>
  <c r="G543" i="4"/>
  <c r="G794" i="4" s="1"/>
  <c r="G589" i="4"/>
  <c r="F34" i="2"/>
  <c r="F792" i="4"/>
  <c r="G56" i="4"/>
  <c r="G768" i="4" s="1"/>
  <c r="G104" i="4"/>
  <c r="G139" i="4"/>
  <c r="G774" i="4" s="1"/>
  <c r="G70" i="4"/>
  <c r="G769" i="4" s="1"/>
  <c r="G157" i="4"/>
  <c r="G390" i="4"/>
  <c r="G785" i="4" s="1"/>
  <c r="G489" i="4"/>
  <c r="G90" i="4"/>
  <c r="G770" i="4" s="1"/>
  <c r="G220" i="4"/>
  <c r="G780" i="4" s="1"/>
  <c r="G643" i="4"/>
  <c r="G801" i="4" s="1"/>
  <c r="G581" i="4"/>
  <c r="C40" i="12"/>
  <c r="G824" i="6"/>
  <c r="E828" i="6"/>
  <c r="E855" i="6"/>
  <c r="E868" i="6"/>
  <c r="D52" i="12"/>
  <c r="D37" i="12"/>
  <c r="D32" i="12"/>
  <c r="G839" i="6"/>
  <c r="G840" i="6"/>
  <c r="G842" i="6"/>
  <c r="H17" i="16" s="1"/>
  <c r="G843" i="6"/>
  <c r="H21" i="16" s="1"/>
  <c r="G845" i="6"/>
  <c r="G846" i="6"/>
  <c r="H23" i="16" s="1"/>
  <c r="E849" i="6"/>
  <c r="E844" i="6"/>
  <c r="G835" i="6"/>
  <c r="H18" i="16" s="1"/>
  <c r="G836" i="6"/>
  <c r="G869" i="6"/>
  <c r="G821" i="6"/>
  <c r="G831" i="6"/>
  <c r="H40" i="16" s="1"/>
  <c r="G832" i="6"/>
  <c r="G833" i="6"/>
  <c r="G834" i="6"/>
  <c r="G856" i="6"/>
  <c r="G857" i="6"/>
  <c r="D41" i="12"/>
  <c r="E41" i="12" s="1"/>
  <c r="G864" i="6"/>
  <c r="G865" i="6"/>
  <c r="G867" i="6"/>
  <c r="D11" i="12"/>
  <c r="G852" i="6"/>
  <c r="G853" i="6"/>
  <c r="H26" i="16" s="1"/>
  <c r="G854" i="6"/>
  <c r="D68" i="12"/>
  <c r="E68" i="12" s="1"/>
  <c r="G862" i="6"/>
  <c r="G863" i="6"/>
  <c r="H22" i="16" s="1"/>
  <c r="G825" i="6"/>
  <c r="G826" i="6"/>
  <c r="G827" i="6"/>
  <c r="G848" i="6"/>
  <c r="D40" i="12"/>
  <c r="G850" i="6"/>
  <c r="H24" i="16" s="1"/>
  <c r="E858" i="6"/>
  <c r="F401" i="4"/>
  <c r="E829" i="6"/>
  <c r="G866" i="6"/>
  <c r="D70" i="12" s="1"/>
  <c r="E70" i="12" s="1"/>
  <c r="F825" i="6"/>
  <c r="F826" i="6"/>
  <c r="F827" i="6"/>
  <c r="F847" i="6"/>
  <c r="F848" i="6"/>
  <c r="F850" i="6"/>
  <c r="F824" i="6"/>
  <c r="F839" i="6"/>
  <c r="F840" i="6"/>
  <c r="F841" i="6"/>
  <c r="F842" i="6"/>
  <c r="F843" i="6"/>
  <c r="F845" i="6"/>
  <c r="F846" i="6"/>
  <c r="F869" i="6"/>
  <c r="F835" i="6"/>
  <c r="F836" i="6"/>
  <c r="F837" i="6"/>
  <c r="F838" i="6"/>
  <c r="F829" i="6"/>
  <c r="F830" i="6"/>
  <c r="F831" i="6"/>
  <c r="F832" i="6"/>
  <c r="F833" i="6"/>
  <c r="F834" i="6"/>
  <c r="F856" i="6"/>
  <c r="F857" i="6"/>
  <c r="F858" i="6"/>
  <c r="F866" i="6"/>
  <c r="F864" i="6"/>
  <c r="F865" i="6"/>
  <c r="F867" i="6"/>
  <c r="F868" i="6"/>
  <c r="F851" i="6"/>
  <c r="F852" i="6"/>
  <c r="F853" i="6"/>
  <c r="F854" i="6"/>
  <c r="F855" i="6"/>
  <c r="F861" i="6"/>
  <c r="F862" i="6"/>
  <c r="F863" i="6"/>
  <c r="F844" i="6"/>
  <c r="D106" i="13"/>
  <c r="D108" i="13" s="1"/>
  <c r="E65" i="10"/>
  <c r="E207" i="7"/>
  <c r="D401" i="4"/>
  <c r="G192" i="7"/>
  <c r="G222" i="7" s="1"/>
  <c r="J222" i="7" s="1"/>
  <c r="K222" i="7" s="1"/>
  <c r="F158" i="13"/>
  <c r="F159" i="13" s="1"/>
  <c r="F234" i="13" s="1"/>
  <c r="G85" i="13"/>
  <c r="G86" i="13" s="1"/>
  <c r="G226" i="13" s="1"/>
  <c r="J272" i="8"/>
  <c r="D8" i="12"/>
  <c r="G847" i="6"/>
  <c r="E21" i="10"/>
  <c r="O207" i="13"/>
  <c r="L207" i="13"/>
  <c r="K207" i="13"/>
  <c r="H79" i="3"/>
  <c r="O79" i="13" s="1"/>
  <c r="E401" i="4"/>
  <c r="E28" i="2" s="1"/>
  <c r="J9" i="8"/>
  <c r="H401" i="4"/>
  <c r="H658" i="14" s="1"/>
  <c r="J311" i="8"/>
  <c r="C331" i="14"/>
  <c r="D331" i="14"/>
  <c r="P592" i="8"/>
  <c r="G592" i="8" s="1"/>
  <c r="G628" i="14" s="1"/>
  <c r="G331" i="14"/>
  <c r="H331" i="14"/>
  <c r="E331" i="14"/>
  <c r="F154" i="7"/>
  <c r="F218" i="7" s="1"/>
  <c r="F306" i="14"/>
  <c r="J155" i="8"/>
  <c r="J430" i="8"/>
  <c r="P591" i="8"/>
  <c r="G591" i="8" s="1"/>
  <c r="G590" i="14" s="1"/>
  <c r="J428" i="8"/>
  <c r="H214" i="7"/>
  <c r="D193" i="13"/>
  <c r="C194" i="13"/>
  <c r="G194" i="13"/>
  <c r="L166" i="8"/>
  <c r="E38" i="10"/>
  <c r="D194" i="13"/>
  <c r="H194" i="13"/>
  <c r="J393" i="8"/>
  <c r="E194" i="13"/>
  <c r="J282" i="8"/>
  <c r="J289" i="8"/>
  <c r="J10" i="8"/>
  <c r="J429" i="8"/>
  <c r="J34" i="8"/>
  <c r="F313" i="14"/>
  <c r="J19" i="8"/>
  <c r="F490" i="14"/>
  <c r="C155" i="14"/>
  <c r="C167" i="14" s="1"/>
  <c r="J16" i="8"/>
  <c r="E167" i="14"/>
  <c r="H193" i="13"/>
  <c r="G193" i="13"/>
  <c r="F193" i="13"/>
  <c r="E193" i="13"/>
  <c r="J363" i="8"/>
  <c r="E338" i="14"/>
  <c r="J292" i="8"/>
  <c r="J432" i="8"/>
  <c r="E28" i="10"/>
  <c r="F94" i="14"/>
  <c r="D97" i="4"/>
  <c r="J435" i="8"/>
  <c r="D338" i="14"/>
  <c r="C844" i="6"/>
  <c r="M37" i="13"/>
  <c r="G130" i="14"/>
  <c r="F499" i="14"/>
  <c r="E10" i="14"/>
  <c r="F338" i="14"/>
  <c r="E547" i="14"/>
  <c r="C58" i="8"/>
  <c r="C603" i="8" s="1"/>
  <c r="D10" i="11" s="1"/>
  <c r="J313" i="8"/>
  <c r="H420" i="8"/>
  <c r="H624" i="8" s="1"/>
  <c r="J431" i="8"/>
  <c r="E408" i="14"/>
  <c r="E412" i="14" s="1"/>
  <c r="D94" i="14"/>
  <c r="C230" i="8"/>
  <c r="C613" i="8" s="1"/>
  <c r="D20" i="11" s="1"/>
  <c r="E20" i="11" s="1"/>
  <c r="C130" i="8"/>
  <c r="C607" i="8" s="1"/>
  <c r="D14" i="11" s="1"/>
  <c r="C509" i="8"/>
  <c r="C629" i="8" s="1"/>
  <c r="D36" i="11" s="1"/>
  <c r="E36" i="11" s="1"/>
  <c r="J586" i="8"/>
  <c r="E449" i="14"/>
  <c r="E456" i="14" s="1"/>
  <c r="F408" i="4"/>
  <c r="H509" i="8"/>
  <c r="H629" i="8" s="1"/>
  <c r="E146" i="4"/>
  <c r="C145" i="8"/>
  <c r="C608" i="8" s="1"/>
  <c r="D15" i="11" s="1"/>
  <c r="H219" i="8"/>
  <c r="H612" i="8" s="1"/>
  <c r="H230" i="8"/>
  <c r="H613" i="8" s="1"/>
  <c r="H277" i="8"/>
  <c r="H617" i="8" s="1"/>
  <c r="H304" i="8"/>
  <c r="H616" i="8" s="1"/>
  <c r="H484" i="8"/>
  <c r="H627" i="8" s="1"/>
  <c r="G434" i="14"/>
  <c r="E107" i="14"/>
  <c r="J175" i="8"/>
  <c r="J208" i="8"/>
  <c r="H245" i="8"/>
  <c r="H614" i="8" s="1"/>
  <c r="J312" i="8"/>
  <c r="F219" i="14"/>
  <c r="H318" i="8"/>
  <c r="H618" i="8" s="1"/>
  <c r="H145" i="8"/>
  <c r="H608" i="8" s="1"/>
  <c r="C318" i="8"/>
  <c r="C618" i="8" s="1"/>
  <c r="D25" i="11" s="1"/>
  <c r="E622" i="4"/>
  <c r="H105" i="8"/>
  <c r="H606" i="8" s="1"/>
  <c r="J330" i="8"/>
  <c r="J381" i="8"/>
  <c r="C531" i="8"/>
  <c r="C630" i="8" s="1"/>
  <c r="D37" i="11" s="1"/>
  <c r="F70" i="4"/>
  <c r="C500" i="8"/>
  <c r="C628" i="8" s="1"/>
  <c r="D35" i="11" s="1"/>
  <c r="E35" i="11" s="1"/>
  <c r="H500" i="8"/>
  <c r="H628" i="8" s="1"/>
  <c r="F107" i="14"/>
  <c r="E94" i="14"/>
  <c r="E643" i="4"/>
  <c r="E192" i="7"/>
  <c r="E222" i="7" s="1"/>
  <c r="J426" i="8"/>
  <c r="D11" i="4"/>
  <c r="D70" i="4"/>
  <c r="D18" i="4"/>
  <c r="K17" i="14" s="1"/>
  <c r="G146" i="4"/>
  <c r="G775" i="4" s="1"/>
  <c r="E589" i="4"/>
  <c r="D260" i="14"/>
  <c r="C352" i="8"/>
  <c r="C620" i="8" s="1"/>
  <c r="D27" i="11" s="1"/>
  <c r="F622" i="4"/>
  <c r="K622" i="4" s="1"/>
  <c r="C369" i="8"/>
  <c r="C621" i="8" s="1"/>
  <c r="D28" i="11" s="1"/>
  <c r="E28" i="11" s="1"/>
  <c r="C387" i="8"/>
  <c r="C622" i="8" s="1"/>
  <c r="D29" i="11" s="1"/>
  <c r="E29" i="11" s="1"/>
  <c r="J559" i="8"/>
  <c r="J427" i="8"/>
  <c r="E11" i="4"/>
  <c r="E70" i="4"/>
  <c r="E769" i="4" s="1"/>
  <c r="E97" i="4"/>
  <c r="D146" i="4"/>
  <c r="E408" i="4"/>
  <c r="D622" i="4"/>
  <c r="J185" i="8"/>
  <c r="C593" i="8"/>
  <c r="C633" i="8" s="1"/>
  <c r="E220" i="4"/>
  <c r="D408" i="4"/>
  <c r="C333" i="8"/>
  <c r="C619" i="8" s="1"/>
  <c r="D26" i="11" s="1"/>
  <c r="E26" i="11" s="1"/>
  <c r="J349" i="8"/>
  <c r="F470" i="4"/>
  <c r="H89" i="8"/>
  <c r="H604" i="8" s="1"/>
  <c r="J85" i="8"/>
  <c r="J433" i="8"/>
  <c r="F434" i="14"/>
  <c r="E64" i="14"/>
  <c r="E464" i="14"/>
  <c r="J425" i="8"/>
  <c r="E434" i="14"/>
  <c r="E87" i="14"/>
  <c r="J36" i="8"/>
  <c r="D395" i="14"/>
  <c r="D130" i="14"/>
  <c r="C105" i="8"/>
  <c r="C606" i="8" s="1"/>
  <c r="D13" i="11" s="1"/>
  <c r="E13" i="11" s="1"/>
  <c r="H200" i="8"/>
  <c r="H611" i="8" s="1"/>
  <c r="C219" i="8"/>
  <c r="C612" i="8" s="1"/>
  <c r="D19" i="11" s="1"/>
  <c r="D499" i="14"/>
  <c r="C245" i="8"/>
  <c r="C614" i="8" s="1"/>
  <c r="D21" i="11" s="1"/>
  <c r="J347" i="8"/>
  <c r="C400" i="8"/>
  <c r="C623" i="8" s="1"/>
  <c r="D30" i="11" s="1"/>
  <c r="C484" i="8"/>
  <c r="C627" i="8" s="1"/>
  <c r="D34" i="11" s="1"/>
  <c r="H565" i="8"/>
  <c r="H632" i="8" s="1"/>
  <c r="F76" i="14"/>
  <c r="D547" i="14"/>
  <c r="G338" i="14"/>
  <c r="G395" i="14"/>
  <c r="H130" i="8"/>
  <c r="H607" i="8" s="1"/>
  <c r="D10" i="14"/>
  <c r="C200" i="8"/>
  <c r="C611" i="8" s="1"/>
  <c r="D18" i="11" s="1"/>
  <c r="E18" i="11" s="1"/>
  <c r="J314" i="8"/>
  <c r="H620" i="8"/>
  <c r="G464" i="14"/>
  <c r="C420" i="8"/>
  <c r="C624" i="8" s="1"/>
  <c r="D31" i="11" s="1"/>
  <c r="J451" i="8"/>
  <c r="J524" i="8"/>
  <c r="J560" i="8"/>
  <c r="H387" i="8"/>
  <c r="H622" i="8" s="1"/>
  <c r="G838" i="6"/>
  <c r="A2" i="18"/>
  <c r="A3" i="15"/>
  <c r="A1" i="16"/>
  <c r="L70" i="8"/>
  <c r="L72" i="8" s="1"/>
  <c r="C203" i="14" s="1"/>
  <c r="C227" i="14" s="1"/>
  <c r="M318" i="8"/>
  <c r="N70" i="8"/>
  <c r="N72" i="8" s="1"/>
  <c r="N318" i="8"/>
  <c r="O70" i="8"/>
  <c r="O72" i="8" s="1"/>
  <c r="F77" i="8" s="1"/>
  <c r="F605" i="8" s="1"/>
  <c r="O318" i="8"/>
  <c r="P70" i="8"/>
  <c r="P72" i="8" s="1"/>
  <c r="L318" i="8"/>
  <c r="M70" i="8"/>
  <c r="M72" i="8" s="1"/>
  <c r="D227" i="14" s="1"/>
  <c r="F139" i="4"/>
  <c r="H139" i="4"/>
  <c r="E139" i="4"/>
  <c r="E774" i="4" s="1"/>
  <c r="D26" i="10"/>
  <c r="D26" i="18"/>
  <c r="D28" i="18" s="1"/>
  <c r="C825" i="6"/>
  <c r="D71" i="10" s="1"/>
  <c r="D51" i="16" s="1"/>
  <c r="D71" i="18"/>
  <c r="D73" i="18" s="1"/>
  <c r="D139" i="4"/>
  <c r="E73" i="10"/>
  <c r="P318" i="8"/>
  <c r="Q70" i="8"/>
  <c r="Q72" i="8" s="1"/>
  <c r="C245" i="5"/>
  <c r="C71" i="10" s="1"/>
  <c r="C51" i="16" s="1"/>
  <c r="C71" i="18"/>
  <c r="C73" i="18" s="1"/>
  <c r="D211" i="7"/>
  <c r="H211" i="7"/>
  <c r="C22" i="13"/>
  <c r="C23" i="13" s="1"/>
  <c r="C219" i="13" s="1"/>
  <c r="C93" i="7"/>
  <c r="G22" i="13"/>
  <c r="G23" i="13" s="1"/>
  <c r="G219" i="13" s="1"/>
  <c r="G37" i="3"/>
  <c r="N23" i="13" s="1"/>
  <c r="F22" i="13"/>
  <c r="F23" i="13" s="1"/>
  <c r="F219" i="13" s="1"/>
  <c r="E22" i="13"/>
  <c r="E23" i="13" s="1"/>
  <c r="E219" i="13" s="1"/>
  <c r="E211" i="7"/>
  <c r="D17" i="3"/>
  <c r="H17" i="3"/>
  <c r="H440" i="8"/>
  <c r="H625" i="8" s="1"/>
  <c r="C89" i="8"/>
  <c r="C604" i="8" s="1"/>
  <c r="D11" i="11" s="1"/>
  <c r="E11" i="11" s="1"/>
  <c r="C24" i="7"/>
  <c r="C9" i="11" s="1"/>
  <c r="D249" i="3"/>
  <c r="D31" i="1" s="1"/>
  <c r="H249" i="3"/>
  <c r="H31" i="1" s="1"/>
  <c r="F249" i="3"/>
  <c r="E249" i="3"/>
  <c r="E31" i="1" s="1"/>
  <c r="J206" i="13"/>
  <c r="J207" i="13" s="1"/>
  <c r="E61" i="3"/>
  <c r="C79" i="3"/>
  <c r="C234" i="3" s="1"/>
  <c r="G79" i="3"/>
  <c r="D157" i="3"/>
  <c r="D23" i="1" s="1"/>
  <c r="H157" i="3"/>
  <c r="H23" i="1" s="1"/>
  <c r="E179" i="3"/>
  <c r="E245" i="3" s="1"/>
  <c r="C188" i="3"/>
  <c r="J181" i="13" s="1"/>
  <c r="G188" i="3"/>
  <c r="G246" i="3" s="1"/>
  <c r="G201" i="7"/>
  <c r="J201" i="7" s="1"/>
  <c r="K201" i="7" s="1"/>
  <c r="D107" i="14"/>
  <c r="G202" i="7"/>
  <c r="J202" i="7" s="1"/>
  <c r="K202" i="7" s="1"/>
  <c r="C31" i="7"/>
  <c r="C10" i="11" s="1"/>
  <c r="C868" i="6"/>
  <c r="D27" i="16" s="1"/>
  <c r="C165" i="3"/>
  <c r="G165" i="3"/>
  <c r="C208" i="3"/>
  <c r="C30" i="1" s="1"/>
  <c r="C21" i="10"/>
  <c r="G208" i="3"/>
  <c r="G248" i="3" s="1"/>
  <c r="C256" i="5"/>
  <c r="E17" i="3"/>
  <c r="E8" i="1" s="1"/>
  <c r="K10" i="13"/>
  <c r="F188" i="3"/>
  <c r="F201" i="7"/>
  <c r="O10" i="13"/>
  <c r="O165" i="13"/>
  <c r="O166" i="13" s="1"/>
  <c r="C17" i="3"/>
  <c r="G17" i="3"/>
  <c r="H87" i="3"/>
  <c r="O86" i="13" s="1"/>
  <c r="D102" i="3"/>
  <c r="H102" i="3"/>
  <c r="E165" i="3"/>
  <c r="F17" i="3"/>
  <c r="C102" i="3"/>
  <c r="C12" i="1" s="1"/>
  <c r="G102" i="3"/>
  <c r="G12" i="1" s="1"/>
  <c r="F121" i="3"/>
  <c r="F157" i="3"/>
  <c r="F179" i="3"/>
  <c r="F245" i="3" s="1"/>
  <c r="H188" i="3"/>
  <c r="H28" i="1" s="1"/>
  <c r="H202" i="7"/>
  <c r="H161" i="7"/>
  <c r="H219" i="7" s="1"/>
  <c r="E201" i="7"/>
  <c r="C106" i="13"/>
  <c r="C108" i="13" s="1"/>
  <c r="F128" i="3"/>
  <c r="E31" i="3"/>
  <c r="E228" i="3" s="1"/>
  <c r="E19" i="1" s="1"/>
  <c r="H192" i="7"/>
  <c r="H222" i="7" s="1"/>
  <c r="D192" i="7"/>
  <c r="D222" i="7" s="1"/>
  <c r="C192" i="7"/>
  <c r="C222" i="7" s="1"/>
  <c r="D161" i="7"/>
  <c r="D219" i="7" s="1"/>
  <c r="E54" i="10"/>
  <c r="H369" i="14"/>
  <c r="C64" i="10"/>
  <c r="C44" i="16" s="1"/>
  <c r="J554" i="8"/>
  <c r="C42" i="8"/>
  <c r="C602" i="8" s="1"/>
  <c r="D9" i="11" s="1"/>
  <c r="C565" i="8"/>
  <c r="C632" i="8" s="1"/>
  <c r="D39" i="11" s="1"/>
  <c r="J558" i="8"/>
  <c r="Q153" i="8"/>
  <c r="J553" i="8"/>
  <c r="G318" i="8"/>
  <c r="G618" i="8" s="1"/>
  <c r="E543" i="4"/>
  <c r="D551" i="4"/>
  <c r="E318" i="8"/>
  <c r="E618" i="8" s="1"/>
  <c r="E395" i="14"/>
  <c r="D434" i="14"/>
  <c r="G87" i="14"/>
  <c r="D64" i="14"/>
  <c r="F412" i="14"/>
  <c r="G547" i="14"/>
  <c r="J50" i="8"/>
  <c r="G10" i="14"/>
  <c r="G73" i="14"/>
  <c r="G80" i="14" s="1"/>
  <c r="H197" i="3"/>
  <c r="H247" i="3" s="1"/>
  <c r="F197" i="3"/>
  <c r="F247" i="3" s="1"/>
  <c r="E197" i="3"/>
  <c r="E29" i="1" s="1"/>
  <c r="D197" i="3"/>
  <c r="D247" i="3" s="1"/>
  <c r="E203" i="7"/>
  <c r="H796" i="4"/>
  <c r="H38" i="2"/>
  <c r="D420" i="14"/>
  <c r="C420" i="14"/>
  <c r="H87" i="14"/>
  <c r="G420" i="14"/>
  <c r="D318" i="8"/>
  <c r="D618" i="8" s="1"/>
  <c r="F420" i="14"/>
  <c r="H497" i="4"/>
  <c r="H622" i="4"/>
  <c r="H672" i="14" s="1"/>
  <c r="D497" i="4"/>
  <c r="E420" i="14"/>
  <c r="C792" i="4"/>
  <c r="H420" i="14"/>
  <c r="H104" i="4"/>
  <c r="H644" i="14" s="1"/>
  <c r="F61" i="3"/>
  <c r="F10" i="1" s="1"/>
  <c r="E60" i="10"/>
  <c r="C73" i="14"/>
  <c r="C80" i="14" s="1"/>
  <c r="J293" i="8"/>
  <c r="J323" i="8"/>
  <c r="H589" i="4"/>
  <c r="H670" i="14" s="1"/>
  <c r="H531" i="8"/>
  <c r="H630" i="8" s="1"/>
  <c r="C548" i="8"/>
  <c r="C631" i="8" s="1"/>
  <c r="D38" i="11" s="1"/>
  <c r="C94" i="14"/>
  <c r="D73" i="14"/>
  <c r="D80" i="14" s="1"/>
  <c r="F464" i="14"/>
  <c r="F551" i="4"/>
  <c r="F667" i="14" s="1"/>
  <c r="P153" i="8"/>
  <c r="E481" i="14" s="1"/>
  <c r="J291" i="8"/>
  <c r="H459" i="8"/>
  <c r="H626" i="8" s="1"/>
  <c r="D87" i="3"/>
  <c r="K86" i="13" s="1"/>
  <c r="D79" i="3"/>
  <c r="K79" i="13" s="1"/>
  <c r="L10" i="13"/>
  <c r="E230" i="3"/>
  <c r="G197" i="3"/>
  <c r="G29" i="1" s="1"/>
  <c r="E14" i="10"/>
  <c r="C197" i="3"/>
  <c r="C247" i="3" s="1"/>
  <c r="F165" i="3"/>
  <c r="H208" i="3"/>
  <c r="H30" i="1" s="1"/>
  <c r="E208" i="3"/>
  <c r="E30" i="1" s="1"/>
  <c r="D208" i="3"/>
  <c r="D248" i="3" s="1"/>
  <c r="H408" i="4"/>
  <c r="H659" i="14" s="1"/>
  <c r="H205" i="7"/>
  <c r="G157" i="3"/>
  <c r="G23" i="1" s="1"/>
  <c r="C59" i="7"/>
  <c r="C205" i="7" s="1"/>
  <c r="N194" i="14"/>
  <c r="N195" i="14" s="1"/>
  <c r="G19" i="2"/>
  <c r="G106" i="13"/>
  <c r="F18" i="4"/>
  <c r="H551" i="4"/>
  <c r="H513" i="4"/>
  <c r="G277" i="8"/>
  <c r="G617" i="8" s="1"/>
  <c r="J264" i="8"/>
  <c r="E260" i="14"/>
  <c r="J261" i="8"/>
  <c r="C277" i="8"/>
  <c r="C617" i="8" s="1"/>
  <c r="D24" i="11" s="1"/>
  <c r="E188" i="3"/>
  <c r="L181" i="13" s="1"/>
  <c r="D188" i="3"/>
  <c r="D246" i="3" s="1"/>
  <c r="D212" i="7"/>
  <c r="G70" i="3"/>
  <c r="H220" i="7"/>
  <c r="F208" i="3"/>
  <c r="F30" i="1" s="1"/>
  <c r="D220" i="7"/>
  <c r="C796" i="4"/>
  <c r="C38" i="2"/>
  <c r="J252" i="8"/>
  <c r="E77" i="10"/>
  <c r="G38" i="2"/>
  <c r="F589" i="4"/>
  <c r="F565" i="8"/>
  <c r="F632" i="8" s="1"/>
  <c r="F318" i="8"/>
  <c r="F618" i="8" s="1"/>
  <c r="D177" i="14"/>
  <c r="D181" i="14" s="1"/>
  <c r="C499" i="14"/>
  <c r="C130" i="14"/>
  <c r="H643" i="4"/>
  <c r="H339" i="4"/>
  <c r="H146" i="4"/>
  <c r="H647" i="14" s="1"/>
  <c r="E18" i="4"/>
  <c r="E766" i="4" s="1"/>
  <c r="D104" i="4"/>
  <c r="F306" i="4"/>
  <c r="F655" i="14" s="1"/>
  <c r="E551" i="4"/>
  <c r="K551" i="4" s="1"/>
  <c r="J384" i="8"/>
  <c r="J538" i="8"/>
  <c r="J577" i="8"/>
  <c r="J28" i="8"/>
  <c r="J142" i="8"/>
  <c r="J343" i="8"/>
  <c r="C459" i="8"/>
  <c r="C626" i="8" s="1"/>
  <c r="D33" i="11" s="1"/>
  <c r="E33" i="11" s="1"/>
  <c r="E509" i="8"/>
  <c r="E629" i="8" s="1"/>
  <c r="J541" i="8"/>
  <c r="H548" i="8"/>
  <c r="H631" i="8" s="1"/>
  <c r="C10" i="14"/>
  <c r="H338" i="14"/>
  <c r="G18" i="4"/>
  <c r="G766" i="4" s="1"/>
  <c r="D306" i="4"/>
  <c r="E581" i="4"/>
  <c r="N153" i="8"/>
  <c r="C481" i="14" s="1"/>
  <c r="C492" i="14" s="1"/>
  <c r="R153" i="8"/>
  <c r="G481" i="14" s="1"/>
  <c r="O153" i="8"/>
  <c r="D481" i="14" s="1"/>
  <c r="S153" i="8"/>
  <c r="H481" i="14" s="1"/>
  <c r="J213" i="8"/>
  <c r="J226" i="8"/>
  <c r="C43" i="14"/>
  <c r="J379" i="8"/>
  <c r="J505" i="8"/>
  <c r="D440" i="8"/>
  <c r="D625" i="8" s="1"/>
  <c r="H220" i="4"/>
  <c r="H652" i="14" s="1"/>
  <c r="C157" i="3"/>
  <c r="C23" i="1" s="1"/>
  <c r="D64" i="10"/>
  <c r="D44" i="16" s="1"/>
  <c r="D543" i="4"/>
  <c r="J468" i="8"/>
  <c r="C822" i="6"/>
  <c r="G822" i="6"/>
  <c r="C23" i="8"/>
  <c r="C601" i="8" s="1"/>
  <c r="D8" i="11" s="1"/>
  <c r="E513" i="4"/>
  <c r="J8" i="8"/>
  <c r="J31" i="8"/>
  <c r="D32" i="10"/>
  <c r="H97" i="4"/>
  <c r="H643" i="14" s="1"/>
  <c r="J30" i="8"/>
  <c r="D643" i="4"/>
  <c r="J362" i="8"/>
  <c r="C824" i="6"/>
  <c r="C826" i="6"/>
  <c r="D581" i="4"/>
  <c r="C827" i="6"/>
  <c r="J67" i="8"/>
  <c r="J72" i="8"/>
  <c r="G141" i="14"/>
  <c r="C828" i="6"/>
  <c r="L23" i="15"/>
  <c r="F440" i="8"/>
  <c r="F625" i="8" s="1"/>
  <c r="C829" i="6"/>
  <c r="C830" i="6"/>
  <c r="G830" i="6"/>
  <c r="D16" i="10"/>
  <c r="C831" i="6"/>
  <c r="D40" i="16" s="1"/>
  <c r="J110" i="8"/>
  <c r="J111" i="8"/>
  <c r="J117" i="8"/>
  <c r="J125" i="8"/>
  <c r="J121" i="8"/>
  <c r="F293" i="4"/>
  <c r="C832" i="6"/>
  <c r="D23" i="10"/>
  <c r="H11" i="4"/>
  <c r="H637" i="14" s="1"/>
  <c r="J136" i="8"/>
  <c r="J141" i="8"/>
  <c r="C141" i="14"/>
  <c r="C833" i="6"/>
  <c r="J159" i="8"/>
  <c r="D43" i="10"/>
  <c r="D31" i="16" s="1"/>
  <c r="J193" i="8"/>
  <c r="J196" i="8"/>
  <c r="C835" i="6"/>
  <c r="D18" i="16" s="1"/>
  <c r="E369" i="14"/>
  <c r="H188" i="8"/>
  <c r="H610" i="8" s="1"/>
  <c r="J169" i="8"/>
  <c r="J183" i="8"/>
  <c r="C188" i="8"/>
  <c r="C610" i="8" s="1"/>
  <c r="D17" i="11" s="1"/>
  <c r="D42" i="16"/>
  <c r="J177" i="8"/>
  <c r="F369" i="14"/>
  <c r="C837" i="6"/>
  <c r="D25" i="16" s="1"/>
  <c r="G837" i="6"/>
  <c r="H25" i="16" s="1"/>
  <c r="J207" i="8"/>
  <c r="D11" i="16"/>
  <c r="J227" i="8"/>
  <c r="C838" i="6"/>
  <c r="D589" i="4"/>
  <c r="J235" i="8"/>
  <c r="C840" i="6"/>
  <c r="F220" i="4"/>
  <c r="E157" i="4"/>
  <c r="D220" i="4"/>
  <c r="E796" i="4"/>
  <c r="E38" i="2"/>
  <c r="C841" i="6"/>
  <c r="D19" i="16" s="1"/>
  <c r="G841" i="6"/>
  <c r="H19" i="16" s="1"/>
  <c r="C842" i="6"/>
  <c r="D17" i="16" s="1"/>
  <c r="J271" i="8"/>
  <c r="J267" i="8"/>
  <c r="J263" i="8"/>
  <c r="J269" i="8"/>
  <c r="C843" i="6"/>
  <c r="D21" i="16" s="1"/>
  <c r="H73" i="14"/>
  <c r="H80" i="14" s="1"/>
  <c r="C547" i="14"/>
  <c r="D777" i="4"/>
  <c r="K194" i="14"/>
  <c r="K195" i="14" s="1"/>
  <c r="D19" i="2"/>
  <c r="D464" i="14"/>
  <c r="J324" i="8"/>
  <c r="D44" i="10"/>
  <c r="D33" i="16" s="1"/>
  <c r="J329" i="8"/>
  <c r="J328" i="8"/>
  <c r="D293" i="4"/>
  <c r="C846" i="6"/>
  <c r="D23" i="16" s="1"/>
  <c r="J342" i="8"/>
  <c r="J344" i="8"/>
  <c r="J339" i="8"/>
  <c r="J338" i="8"/>
  <c r="J340" i="8"/>
  <c r="J346" i="8"/>
  <c r="C847" i="6"/>
  <c r="J358" i="8"/>
  <c r="J357" i="8"/>
  <c r="H464" i="14"/>
  <c r="J380" i="8"/>
  <c r="E141" i="14"/>
  <c r="J374" i="8"/>
  <c r="D18" i="10"/>
  <c r="C338" i="14"/>
  <c r="C848" i="6"/>
  <c r="J383" i="8"/>
  <c r="C849" i="6"/>
  <c r="D28" i="16"/>
  <c r="E73" i="14"/>
  <c r="D123" i="14"/>
  <c r="C850" i="6"/>
  <c r="D24" i="16" s="1"/>
  <c r="J296" i="8"/>
  <c r="D6" i="16"/>
  <c r="E339" i="4"/>
  <c r="G851" i="6"/>
  <c r="J415" i="8"/>
  <c r="J406" i="8"/>
  <c r="J412" i="8"/>
  <c r="D10" i="10"/>
  <c r="D7" i="16" s="1"/>
  <c r="J405" i="8"/>
  <c r="J411" i="8"/>
  <c r="D35" i="10"/>
  <c r="J520" i="8"/>
  <c r="J166" i="8"/>
  <c r="D59" i="10"/>
  <c r="D43" i="16" s="1"/>
  <c r="D90" i="4"/>
  <c r="F90" i="4"/>
  <c r="D470" i="4"/>
  <c r="J179" i="8"/>
  <c r="J448" i="8"/>
  <c r="J445" i="8"/>
  <c r="J455" i="8"/>
  <c r="C412" i="14"/>
  <c r="D62" i="10"/>
  <c r="D45" i="16" s="1"/>
  <c r="J477" i="8"/>
  <c r="C17" i="14"/>
  <c r="F104" i="4"/>
  <c r="C857" i="6"/>
  <c r="J471" i="8"/>
  <c r="H94" i="14"/>
  <c r="E104" i="4"/>
  <c r="J466" i="8"/>
  <c r="C107" i="14"/>
  <c r="C858" i="6"/>
  <c r="E306" i="4"/>
  <c r="K306" i="4" s="1"/>
  <c r="G859" i="6"/>
  <c r="H581" i="4"/>
  <c r="H669" i="14" s="1"/>
  <c r="C860" i="6"/>
  <c r="G860" i="6"/>
  <c r="D13" i="16"/>
  <c r="C87" i="14"/>
  <c r="E470" i="4"/>
  <c r="J101" i="8"/>
  <c r="J102" i="8"/>
  <c r="D14" i="16"/>
  <c r="C861" i="6"/>
  <c r="G861" i="6"/>
  <c r="J492" i="8"/>
  <c r="J15" i="8"/>
  <c r="C285" i="14"/>
  <c r="C862" i="6"/>
  <c r="F56" i="4"/>
  <c r="J14" i="8"/>
  <c r="J516" i="8"/>
  <c r="H157" i="4"/>
  <c r="H648" i="14" s="1"/>
  <c r="D56" i="4"/>
  <c r="D157" i="4"/>
  <c r="J515" i="8"/>
  <c r="C863" i="6"/>
  <c r="D22" i="16" s="1"/>
  <c r="J521" i="8"/>
  <c r="F157" i="4"/>
  <c r="D513" i="4"/>
  <c r="J519" i="8"/>
  <c r="J525" i="8"/>
  <c r="C864" i="6"/>
  <c r="J540" i="8"/>
  <c r="C260" i="14"/>
  <c r="H390" i="4"/>
  <c r="J536" i="8"/>
  <c r="J537" i="8"/>
  <c r="D339" i="4"/>
  <c r="E293" i="4"/>
  <c r="F489" i="4"/>
  <c r="C865" i="6"/>
  <c r="E90" i="4"/>
  <c r="E56" i="4"/>
  <c r="E768" i="4" s="1"/>
  <c r="J506" i="8"/>
  <c r="D16" i="16"/>
  <c r="H56" i="4"/>
  <c r="H640" i="14" s="1"/>
  <c r="D25" i="10"/>
  <c r="D489" i="4"/>
  <c r="E565" i="8"/>
  <c r="E632" i="8" s="1"/>
  <c r="H529" i="14"/>
  <c r="D67" i="10"/>
  <c r="D47" i="16" s="1"/>
  <c r="D869" i="6"/>
  <c r="D870" i="6" s="1"/>
  <c r="D636" i="8" s="1"/>
  <c r="H70" i="4"/>
  <c r="H641" i="14" s="1"/>
  <c r="H18" i="4"/>
  <c r="H869" i="6"/>
  <c r="J571" i="8"/>
  <c r="J583" i="8"/>
  <c r="H90" i="4"/>
  <c r="H642" i="14" s="1"/>
  <c r="J587" i="8"/>
  <c r="H123" i="14"/>
  <c r="N165" i="13"/>
  <c r="N166" i="13" s="1"/>
  <c r="G244" i="3"/>
  <c r="D228" i="3"/>
  <c r="D19" i="1" s="1"/>
  <c r="K36" i="13"/>
  <c r="K37" i="13" s="1"/>
  <c r="H228" i="3"/>
  <c r="H19" i="1" s="1"/>
  <c r="O36" i="13"/>
  <c r="O37" i="13" s="1"/>
  <c r="J36" i="13"/>
  <c r="J37" i="13" s="1"/>
  <c r="C228" i="3"/>
  <c r="C19" i="1" s="1"/>
  <c r="L165" i="13"/>
  <c r="L166" i="13" s="1"/>
  <c r="E244" i="3"/>
  <c r="N36" i="13"/>
  <c r="N37" i="13" s="1"/>
  <c r="G228" i="3"/>
  <c r="G19" i="1" s="1"/>
  <c r="J165" i="13"/>
  <c r="J166" i="13" s="1"/>
  <c r="C244" i="3"/>
  <c r="C128" i="3"/>
  <c r="G128" i="3"/>
  <c r="G22" i="1" s="1"/>
  <c r="C179" i="3"/>
  <c r="J173" i="13" s="1"/>
  <c r="G179" i="3"/>
  <c r="N173" i="13" s="1"/>
  <c r="E78" i="13"/>
  <c r="E79" i="13" s="1"/>
  <c r="E225" i="13" s="1"/>
  <c r="F123" i="13"/>
  <c r="F124" i="13" s="1"/>
  <c r="F231" i="13" s="1"/>
  <c r="F228" i="3"/>
  <c r="F19" i="1" s="1"/>
  <c r="D244" i="3"/>
  <c r="H244" i="3"/>
  <c r="E124" i="13"/>
  <c r="E231" i="13" s="1"/>
  <c r="D78" i="13"/>
  <c r="D79" i="13" s="1"/>
  <c r="H78" i="13"/>
  <c r="H79" i="13" s="1"/>
  <c r="E128" i="3"/>
  <c r="G270" i="5"/>
  <c r="C67" i="12" s="1"/>
  <c r="C73" i="12" s="1"/>
  <c r="D124" i="13"/>
  <c r="D231" i="13" s="1"/>
  <c r="H124" i="13"/>
  <c r="H231" i="13" s="1"/>
  <c r="C78" i="13"/>
  <c r="C79" i="13" s="1"/>
  <c r="C225" i="13" s="1"/>
  <c r="G78" i="13"/>
  <c r="G79" i="13" s="1"/>
  <c r="G225" i="13" s="1"/>
  <c r="D128" i="3"/>
  <c r="H128" i="3"/>
  <c r="H22" i="1" s="1"/>
  <c r="D179" i="3"/>
  <c r="D245" i="3" s="1"/>
  <c r="H179" i="3"/>
  <c r="H245" i="3" s="1"/>
  <c r="C124" i="13"/>
  <c r="C231" i="13" s="1"/>
  <c r="G124" i="13"/>
  <c r="G231" i="13" s="1"/>
  <c r="C39" i="11"/>
  <c r="C221" i="7"/>
  <c r="C269" i="5"/>
  <c r="G269" i="5"/>
  <c r="C37" i="12" s="1"/>
  <c r="F176" i="7"/>
  <c r="C116" i="13"/>
  <c r="G116" i="13"/>
  <c r="E176" i="7"/>
  <c r="E221" i="7" s="1"/>
  <c r="D176" i="7"/>
  <c r="D221" i="7" s="1"/>
  <c r="H176" i="7"/>
  <c r="H221" i="7" s="1"/>
  <c r="C268" i="5"/>
  <c r="G268" i="5"/>
  <c r="C51" i="12" s="1"/>
  <c r="E159" i="13"/>
  <c r="E234" i="13" s="1"/>
  <c r="C138" i="13"/>
  <c r="G138" i="13"/>
  <c r="D159" i="13"/>
  <c r="D234" i="13" s="1"/>
  <c r="H159" i="13"/>
  <c r="H234" i="13" s="1"/>
  <c r="F138" i="13"/>
  <c r="C159" i="13"/>
  <c r="C234" i="13" s="1"/>
  <c r="G159" i="13"/>
  <c r="G234" i="13" s="1"/>
  <c r="D137" i="13"/>
  <c r="H137" i="13"/>
  <c r="C49" i="10"/>
  <c r="C35" i="16" s="1"/>
  <c r="G267" i="5"/>
  <c r="C49" i="12" s="1"/>
  <c r="F137" i="13"/>
  <c r="N206" i="13"/>
  <c r="G249" i="3"/>
  <c r="G31" i="1" s="1"/>
  <c r="C13" i="10"/>
  <c r="C9" i="16" s="1"/>
  <c r="G266" i="5"/>
  <c r="F265" i="5"/>
  <c r="E127" i="7"/>
  <c r="E136" i="13" s="1"/>
  <c r="H127" i="7"/>
  <c r="H136" i="13" s="1"/>
  <c r="C41" i="10"/>
  <c r="C29" i="16" s="1"/>
  <c r="C127" i="7"/>
  <c r="F79" i="13"/>
  <c r="F225" i="13" s="1"/>
  <c r="C86" i="13"/>
  <c r="C226" i="13" s="1"/>
  <c r="E100" i="13"/>
  <c r="E227" i="13" s="1"/>
  <c r="C44" i="13"/>
  <c r="C221" i="13" s="1"/>
  <c r="G44" i="13"/>
  <c r="G221" i="13" s="1"/>
  <c r="E154" i="7"/>
  <c r="E218" i="7" s="1"/>
  <c r="D154" i="7"/>
  <c r="D218" i="7" s="1"/>
  <c r="F42" i="13"/>
  <c r="F68" i="13"/>
  <c r="C87" i="3"/>
  <c r="J86" i="13" s="1"/>
  <c r="G87" i="3"/>
  <c r="N86" i="13" s="1"/>
  <c r="C264" i="5"/>
  <c r="G264" i="5"/>
  <c r="C63" i="12" s="1"/>
  <c r="F86" i="13"/>
  <c r="F226" i="13" s="1"/>
  <c r="D100" i="13"/>
  <c r="D227" i="13" s="1"/>
  <c r="H100" i="13"/>
  <c r="H227" i="13" s="1"/>
  <c r="F79" i="3"/>
  <c r="M79" i="13" s="1"/>
  <c r="F87" i="3"/>
  <c r="F235" i="3" s="1"/>
  <c r="E86" i="13"/>
  <c r="E226" i="13" s="1"/>
  <c r="C100" i="13"/>
  <c r="C227" i="13" s="1"/>
  <c r="G100" i="13"/>
  <c r="G227" i="13" s="1"/>
  <c r="E44" i="13"/>
  <c r="E221" i="13" s="1"/>
  <c r="C154" i="7"/>
  <c r="C34" i="11" s="1"/>
  <c r="G154" i="7"/>
  <c r="G218" i="7" s="1"/>
  <c r="J218" i="7" s="1"/>
  <c r="K218" i="7" s="1"/>
  <c r="H154" i="7"/>
  <c r="H218" i="7" s="1"/>
  <c r="E79" i="3"/>
  <c r="L79" i="13" s="1"/>
  <c r="E87" i="3"/>
  <c r="L86" i="13" s="1"/>
  <c r="D86" i="13"/>
  <c r="D226" i="13" s="1"/>
  <c r="H86" i="13"/>
  <c r="H226" i="13" s="1"/>
  <c r="D44" i="13"/>
  <c r="D221" i="13" s="1"/>
  <c r="H44" i="13"/>
  <c r="H221" i="13" s="1"/>
  <c r="C161" i="7"/>
  <c r="C219" i="7" s="1"/>
  <c r="C37" i="11" s="1"/>
  <c r="G161" i="7"/>
  <c r="G219" i="7" s="1"/>
  <c r="J219" i="7" s="1"/>
  <c r="K219" i="7" s="1"/>
  <c r="D134" i="13"/>
  <c r="H134" i="13"/>
  <c r="F161" i="7"/>
  <c r="F219" i="7" s="1"/>
  <c r="C35" i="10"/>
  <c r="C38" i="10" s="1"/>
  <c r="E161" i="7"/>
  <c r="E219" i="7" s="1"/>
  <c r="C263" i="5"/>
  <c r="G263" i="5"/>
  <c r="C59" i="12" s="1"/>
  <c r="C135" i="7"/>
  <c r="C31" i="11" s="1"/>
  <c r="C132" i="13"/>
  <c r="C10" i="10"/>
  <c r="C7" i="16" s="1"/>
  <c r="C10" i="12"/>
  <c r="H229" i="3"/>
  <c r="O23" i="13"/>
  <c r="D229" i="3"/>
  <c r="K23" i="13"/>
  <c r="C229" i="3"/>
  <c r="J23" i="13"/>
  <c r="C260" i="5"/>
  <c r="C24" i="16" s="1"/>
  <c r="G260" i="5"/>
  <c r="C36" i="12" s="1"/>
  <c r="D22" i="13"/>
  <c r="D23" i="13" s="1"/>
  <c r="D219" i="13" s="1"/>
  <c r="H22" i="13"/>
  <c r="H23" i="13" s="1"/>
  <c r="H219" i="13" s="1"/>
  <c r="F130" i="13"/>
  <c r="D206" i="7"/>
  <c r="H206" i="7"/>
  <c r="F259" i="5"/>
  <c r="C65" i="7"/>
  <c r="G65" i="7"/>
  <c r="G133" i="13" s="1"/>
  <c r="C40" i="10"/>
  <c r="C28" i="16"/>
  <c r="E259" i="5"/>
  <c r="E271" i="5" s="1"/>
  <c r="D259" i="5"/>
  <c r="D271" i="5" s="1"/>
  <c r="D252" i="3" s="1"/>
  <c r="H259" i="5"/>
  <c r="J51" i="13"/>
  <c r="C231" i="3"/>
  <c r="H231" i="3"/>
  <c r="C114" i="7"/>
  <c r="G214" i="7"/>
  <c r="J214" i="7" s="1"/>
  <c r="K214" i="7" s="1"/>
  <c r="D49" i="13"/>
  <c r="H49" i="13"/>
  <c r="F60" i="13"/>
  <c r="C258" i="5"/>
  <c r="C23" i="16" s="1"/>
  <c r="G258" i="5"/>
  <c r="C33" i="12" s="1"/>
  <c r="F213" i="7"/>
  <c r="C25" i="11"/>
  <c r="C213" i="7"/>
  <c r="H106" i="13"/>
  <c r="F106" i="13"/>
  <c r="E52" i="12"/>
  <c r="G255" i="5"/>
  <c r="C24" i="12" s="1"/>
  <c r="C181" i="13"/>
  <c r="C237" i="13" s="1"/>
  <c r="G181" i="13"/>
  <c r="G237" i="13" s="1"/>
  <c r="E143" i="13"/>
  <c r="D143" i="13"/>
  <c r="H143" i="13"/>
  <c r="E181" i="13"/>
  <c r="E237" i="13" s="1"/>
  <c r="D181" i="13"/>
  <c r="D237" i="13" s="1"/>
  <c r="H181" i="13"/>
  <c r="H237" i="13" s="1"/>
  <c r="E58" i="13"/>
  <c r="C21" i="16"/>
  <c r="C30" i="12"/>
  <c r="E149" i="3"/>
  <c r="C253" i="5"/>
  <c r="G253" i="5"/>
  <c r="F132" i="13"/>
  <c r="F209" i="7"/>
  <c r="F105" i="13"/>
  <c r="D209" i="7"/>
  <c r="C83" i="7"/>
  <c r="G186" i="13"/>
  <c r="G188" i="13" s="1"/>
  <c r="G238" i="13" s="1"/>
  <c r="C252" i="5"/>
  <c r="G252" i="5"/>
  <c r="C34" i="12" s="1"/>
  <c r="E76" i="7"/>
  <c r="E77" i="7" s="1"/>
  <c r="F252" i="5"/>
  <c r="D76" i="7"/>
  <c r="D77" i="7" s="1"/>
  <c r="H76" i="7"/>
  <c r="H77" i="7" s="1"/>
  <c r="C76" i="7"/>
  <c r="D207" i="7"/>
  <c r="H207" i="7"/>
  <c r="C17" i="11"/>
  <c r="C207" i="7"/>
  <c r="C135" i="13"/>
  <c r="G207" i="7"/>
  <c r="J207" i="7" s="1"/>
  <c r="K207" i="7" s="1"/>
  <c r="C60" i="10"/>
  <c r="C250" i="5"/>
  <c r="G250" i="5"/>
  <c r="C58" i="12" s="1"/>
  <c r="D171" i="13"/>
  <c r="D173" i="13" s="1"/>
  <c r="D236" i="13" s="1"/>
  <c r="H171" i="13"/>
  <c r="H173" i="13" s="1"/>
  <c r="H236" i="13" s="1"/>
  <c r="C15" i="16"/>
  <c r="C249" i="5"/>
  <c r="C171" i="13"/>
  <c r="C173" i="13" s="1"/>
  <c r="C236" i="13" s="1"/>
  <c r="G171" i="13"/>
  <c r="G173" i="13" s="1"/>
  <c r="G236" i="13" s="1"/>
  <c r="E157" i="3"/>
  <c r="E23" i="1" s="1"/>
  <c r="C152" i="13"/>
  <c r="C232" i="13" s="1"/>
  <c r="C225" i="3"/>
  <c r="J10" i="13"/>
  <c r="J11" i="13" s="1"/>
  <c r="G225" i="3"/>
  <c r="N10" i="13"/>
  <c r="M10" i="13"/>
  <c r="F225" i="3"/>
  <c r="D70" i="3"/>
  <c r="H70" i="3"/>
  <c r="C248" i="5"/>
  <c r="C40" i="16" s="1"/>
  <c r="G248" i="5"/>
  <c r="C56" i="12" s="1"/>
  <c r="G71" i="13"/>
  <c r="G224" i="13" s="1"/>
  <c r="C52" i="7"/>
  <c r="D61" i="3"/>
  <c r="D10" i="1" s="1"/>
  <c r="H61" i="3"/>
  <c r="E225" i="3"/>
  <c r="F41" i="13"/>
  <c r="F97" i="13"/>
  <c r="C61" i="3"/>
  <c r="G61" i="3"/>
  <c r="F70" i="3"/>
  <c r="E102" i="3"/>
  <c r="E12" i="1" s="1"/>
  <c r="D225" i="3"/>
  <c r="H225" i="3"/>
  <c r="E71" i="13"/>
  <c r="E224" i="13" s="1"/>
  <c r="E70" i="3"/>
  <c r="D71" i="13"/>
  <c r="D224" i="13" s="1"/>
  <c r="H71" i="13"/>
  <c r="H204" i="7"/>
  <c r="D165" i="3"/>
  <c r="D25" i="1" s="1"/>
  <c r="H165" i="3"/>
  <c r="C11" i="12"/>
  <c r="D149" i="3"/>
  <c r="H149" i="3"/>
  <c r="O144" i="13" s="1"/>
  <c r="C247" i="5"/>
  <c r="G149" i="3"/>
  <c r="G242" i="3" s="1"/>
  <c r="G24" i="1" s="1"/>
  <c r="C37" i="16"/>
  <c r="C39" i="7"/>
  <c r="E149" i="13"/>
  <c r="C246" i="5"/>
  <c r="G246" i="5"/>
  <c r="D149" i="13"/>
  <c r="H149" i="13"/>
  <c r="F178" i="13"/>
  <c r="F181" i="13" s="1"/>
  <c r="F237" i="13" s="1"/>
  <c r="H237" i="3"/>
  <c r="O92" i="13"/>
  <c r="C237" i="3"/>
  <c r="J92" i="13"/>
  <c r="F237" i="3"/>
  <c r="M92" i="13"/>
  <c r="L92" i="13"/>
  <c r="E237" i="3"/>
  <c r="D237" i="3"/>
  <c r="K92" i="13"/>
  <c r="G237" i="3"/>
  <c r="N92" i="13"/>
  <c r="D91" i="13"/>
  <c r="D92" i="13" s="1"/>
  <c r="H91" i="13"/>
  <c r="H92" i="13" s="1"/>
  <c r="C91" i="13"/>
  <c r="C92" i="13" s="1"/>
  <c r="G91" i="13"/>
  <c r="G92" i="13" s="1"/>
  <c r="F91" i="13"/>
  <c r="F92" i="13" s="1"/>
  <c r="C244" i="5"/>
  <c r="C20" i="16" s="1"/>
  <c r="G244" i="5"/>
  <c r="C32" i="12" s="1"/>
  <c r="H201" i="7"/>
  <c r="C56" i="13"/>
  <c r="C61" i="13" s="1"/>
  <c r="G56" i="13"/>
  <c r="G61" i="13" s="1"/>
  <c r="F56" i="13"/>
  <c r="E56" i="13"/>
  <c r="F230" i="3"/>
  <c r="M29" i="13"/>
  <c r="M30" i="13" s="1"/>
  <c r="C220" i="13"/>
  <c r="G220" i="13"/>
  <c r="J17" i="13"/>
  <c r="J18" i="13" s="1"/>
  <c r="C227" i="3"/>
  <c r="N17" i="13"/>
  <c r="G227" i="3"/>
  <c r="F220" i="13"/>
  <c r="M17" i="13"/>
  <c r="F227" i="3"/>
  <c r="K29" i="13"/>
  <c r="K30" i="13" s="1"/>
  <c r="D230" i="3"/>
  <c r="O29" i="13"/>
  <c r="O30" i="13" s="1"/>
  <c r="H230" i="3"/>
  <c r="E220" i="13"/>
  <c r="L17" i="13"/>
  <c r="E227" i="3"/>
  <c r="J29" i="13"/>
  <c r="J30" i="13" s="1"/>
  <c r="C230" i="3"/>
  <c r="N29" i="13"/>
  <c r="N30" i="13" s="1"/>
  <c r="G230" i="3"/>
  <c r="D220" i="13"/>
  <c r="H220" i="13"/>
  <c r="C121" i="3"/>
  <c r="G121" i="3"/>
  <c r="D117" i="13"/>
  <c r="D230" i="13" s="1"/>
  <c r="H117" i="13"/>
  <c r="H230" i="13" s="1"/>
  <c r="F16" i="13"/>
  <c r="F17" i="13" s="1"/>
  <c r="F218" i="13" s="1"/>
  <c r="C8" i="10"/>
  <c r="L29" i="13"/>
  <c r="L30" i="13" s="1"/>
  <c r="E121" i="3"/>
  <c r="E21" i="1" s="1"/>
  <c r="D227" i="3"/>
  <c r="H227" i="3"/>
  <c r="F117" i="13"/>
  <c r="F230" i="13" s="1"/>
  <c r="C8" i="12"/>
  <c r="D121" i="3"/>
  <c r="H121" i="3"/>
  <c r="H21" i="1" s="1"/>
  <c r="E117" i="13"/>
  <c r="E230" i="13" s="1"/>
  <c r="C64" i="12"/>
  <c r="C115" i="13"/>
  <c r="G115" i="13"/>
  <c r="N420" i="14"/>
  <c r="G34" i="2"/>
  <c r="D796" i="4"/>
  <c r="D38" i="2"/>
  <c r="L420" i="14"/>
  <c r="E792" i="4"/>
  <c r="E34" i="2"/>
  <c r="F339" i="4"/>
  <c r="K339" i="4" s="1"/>
  <c r="E489" i="4"/>
  <c r="F513" i="4"/>
  <c r="F543" i="4"/>
  <c r="K543" i="4" s="1"/>
  <c r="F557" i="4"/>
  <c r="K557" i="4" s="1"/>
  <c r="G64" i="14"/>
  <c r="F11" i="4"/>
  <c r="K11" i="4" s="1"/>
  <c r="E390" i="4"/>
  <c r="E657" i="14" s="1"/>
  <c r="D390" i="4"/>
  <c r="D657" i="14" s="1"/>
  <c r="D87" i="14"/>
  <c r="G107" i="14"/>
  <c r="F141" i="14"/>
  <c r="M420" i="14"/>
  <c r="D141" i="14"/>
  <c r="D265" i="14"/>
  <c r="F23" i="14"/>
  <c r="F25" i="14" s="1"/>
  <c r="G245" i="8"/>
  <c r="G614" i="8" s="1"/>
  <c r="G497" i="14"/>
  <c r="G499" i="14" s="1"/>
  <c r="F257" i="14"/>
  <c r="F260" i="14" s="1"/>
  <c r="D565" i="8"/>
  <c r="D632" i="8" s="1"/>
  <c r="D410" i="14"/>
  <c r="D412" i="14" s="1"/>
  <c r="G89" i="8"/>
  <c r="G604" i="8" s="1"/>
  <c r="E105" i="8"/>
  <c r="E606" i="8" s="1"/>
  <c r="G130" i="8"/>
  <c r="G607" i="8" s="1"/>
  <c r="G145" i="8"/>
  <c r="G608" i="8" s="1"/>
  <c r="F529" i="14"/>
  <c r="J176" i="8"/>
  <c r="D200" i="8"/>
  <c r="D611" i="8" s="1"/>
  <c r="G219" i="8"/>
  <c r="G612" i="8" s="1"/>
  <c r="D230" i="8"/>
  <c r="D613" i="8" s="1"/>
  <c r="F277" i="8"/>
  <c r="F617" i="8" s="1"/>
  <c r="G387" i="8"/>
  <c r="G622" i="8" s="1"/>
  <c r="E400" i="8"/>
  <c r="E623" i="8" s="1"/>
  <c r="D420" i="8"/>
  <c r="D624" i="8" s="1"/>
  <c r="D459" i="8"/>
  <c r="D626" i="8" s="1"/>
  <c r="E484" i="8"/>
  <c r="E627" i="8" s="1"/>
  <c r="F500" i="8"/>
  <c r="F628" i="8" s="1"/>
  <c r="G509" i="8"/>
  <c r="G629" i="8" s="1"/>
  <c r="E531" i="8"/>
  <c r="E630" i="8" s="1"/>
  <c r="G548" i="8"/>
  <c r="G631" i="8" s="1"/>
  <c r="J572" i="8"/>
  <c r="J584" i="8"/>
  <c r="J588" i="8"/>
  <c r="G15" i="14"/>
  <c r="G17" i="14" s="1"/>
  <c r="E47" i="14"/>
  <c r="F201" i="14"/>
  <c r="G265" i="14"/>
  <c r="E23" i="14"/>
  <c r="E25" i="14" s="1"/>
  <c r="G238" i="14"/>
  <c r="J18" i="8"/>
  <c r="J33" i="8"/>
  <c r="J35" i="8"/>
  <c r="J39" i="8"/>
  <c r="J47" i="8"/>
  <c r="J49" i="8"/>
  <c r="J51" i="8"/>
  <c r="J53" i="8"/>
  <c r="J84" i="8"/>
  <c r="F89" i="8"/>
  <c r="F604" i="8" s="1"/>
  <c r="J100" i="8"/>
  <c r="D105" i="8"/>
  <c r="D606" i="8" s="1"/>
  <c r="J116" i="8"/>
  <c r="J120" i="8"/>
  <c r="F130" i="8"/>
  <c r="F607" i="8" s="1"/>
  <c r="J135" i="8"/>
  <c r="J139" i="8"/>
  <c r="J140" i="8"/>
  <c r="F145" i="8"/>
  <c r="F608" i="8" s="1"/>
  <c r="E529" i="14"/>
  <c r="J156" i="8"/>
  <c r="J167" i="8"/>
  <c r="J168" i="8"/>
  <c r="J173" i="8"/>
  <c r="J182" i="8"/>
  <c r="F188" i="8"/>
  <c r="F610" i="8" s="1"/>
  <c r="J195" i="8"/>
  <c r="G200" i="8"/>
  <c r="G611" i="8" s="1"/>
  <c r="J206" i="8"/>
  <c r="J210" i="8"/>
  <c r="F219" i="8"/>
  <c r="F612" i="8" s="1"/>
  <c r="J225" i="8"/>
  <c r="J236" i="8"/>
  <c r="J240" i="8"/>
  <c r="F245" i="8"/>
  <c r="F614" i="8" s="1"/>
  <c r="J251" i="8"/>
  <c r="J262" i="8"/>
  <c r="J266" i="8"/>
  <c r="J270" i="8"/>
  <c r="E277" i="8"/>
  <c r="E617" i="8" s="1"/>
  <c r="J288" i="8"/>
  <c r="J290" i="8"/>
  <c r="J295" i="8"/>
  <c r="J300" i="8"/>
  <c r="G304" i="8"/>
  <c r="G616" i="8" s="1"/>
  <c r="J327" i="8"/>
  <c r="J341" i="8"/>
  <c r="J345" i="8"/>
  <c r="J361" i="8"/>
  <c r="J365" i="8"/>
  <c r="J378" i="8"/>
  <c r="J382" i="8"/>
  <c r="F387" i="8"/>
  <c r="F622" i="8" s="1"/>
  <c r="J395" i="8"/>
  <c r="D400" i="8"/>
  <c r="D623" i="8" s="1"/>
  <c r="J410" i="8"/>
  <c r="J414" i="8"/>
  <c r="G420" i="8"/>
  <c r="G624" i="8" s="1"/>
  <c r="J447" i="8"/>
  <c r="J450" i="8"/>
  <c r="J454" i="8"/>
  <c r="G459" i="8"/>
  <c r="G626" i="8" s="1"/>
  <c r="J465" i="8"/>
  <c r="J470" i="8"/>
  <c r="J475" i="8"/>
  <c r="D484" i="8"/>
  <c r="D627" i="8" s="1"/>
  <c r="E500" i="8"/>
  <c r="E628" i="8" s="1"/>
  <c r="F509" i="8"/>
  <c r="F629" i="8" s="1"/>
  <c r="J514" i="8"/>
  <c r="J518" i="8"/>
  <c r="J527" i="8"/>
  <c r="D531" i="8"/>
  <c r="D630" i="8" s="1"/>
  <c r="J543" i="8"/>
  <c r="F548" i="8"/>
  <c r="F631" i="8" s="1"/>
  <c r="J557" i="8"/>
  <c r="J575" i="8"/>
  <c r="J579" i="8"/>
  <c r="F8" i="14"/>
  <c r="F9" i="14"/>
  <c r="F15" i="14"/>
  <c r="F17" i="14" s="1"/>
  <c r="F41" i="14"/>
  <c r="F44" i="14"/>
  <c r="F50" i="14"/>
  <c r="F129" i="14"/>
  <c r="F130" i="14" s="1"/>
  <c r="F176" i="14"/>
  <c r="F265" i="14"/>
  <c r="G105" i="8"/>
  <c r="G606" i="8" s="1"/>
  <c r="G295" i="14"/>
  <c r="G230" i="8"/>
  <c r="G613" i="8" s="1"/>
  <c r="G302" i="14"/>
  <c r="E245" i="8"/>
  <c r="E614" i="8" s="1"/>
  <c r="E497" i="14"/>
  <c r="E499" i="14" s="1"/>
  <c r="D304" i="8"/>
  <c r="D616" i="8" s="1"/>
  <c r="J11" i="8"/>
  <c r="J12" i="8"/>
  <c r="J38" i="8"/>
  <c r="J64" i="8"/>
  <c r="J65" i="8"/>
  <c r="J70" i="8"/>
  <c r="J82" i="8"/>
  <c r="J83" i="8"/>
  <c r="E89" i="8"/>
  <c r="E604" i="8" s="1"/>
  <c r="J113" i="8"/>
  <c r="J115" i="8"/>
  <c r="J119" i="8"/>
  <c r="J123" i="8"/>
  <c r="E130" i="8"/>
  <c r="E607" i="8" s="1"/>
  <c r="J138" i="8"/>
  <c r="E145" i="8"/>
  <c r="E608" i="8" s="1"/>
  <c r="D529" i="14"/>
  <c r="J153" i="8"/>
  <c r="J172" i="8"/>
  <c r="D369" i="14"/>
  <c r="J178" i="8"/>
  <c r="J181" i="8"/>
  <c r="E188" i="8"/>
  <c r="E610" i="8" s="1"/>
  <c r="F200" i="8"/>
  <c r="F611" i="8" s="1"/>
  <c r="J205" i="8"/>
  <c r="J209" i="8"/>
  <c r="E219" i="8"/>
  <c r="E612" i="8" s="1"/>
  <c r="J224" i="8"/>
  <c r="F230" i="8"/>
  <c r="F613" i="8" s="1"/>
  <c r="D245" i="8"/>
  <c r="D614" i="8" s="1"/>
  <c r="J250" i="8"/>
  <c r="J265" i="8"/>
  <c r="J273" i="8"/>
  <c r="D277" i="8"/>
  <c r="D617" i="8" s="1"/>
  <c r="J283" i="8"/>
  <c r="J287" i="8"/>
  <c r="F73" i="14"/>
  <c r="J299" i="8"/>
  <c r="F304" i="8"/>
  <c r="F616" i="8" s="1"/>
  <c r="J326" i="8"/>
  <c r="J348" i="8"/>
  <c r="D620" i="8"/>
  <c r="J359" i="8"/>
  <c r="J360" i="8"/>
  <c r="J364" i="8"/>
  <c r="J376" i="8"/>
  <c r="J377" i="8"/>
  <c r="E387" i="8"/>
  <c r="E622" i="8" s="1"/>
  <c r="J392" i="8"/>
  <c r="J408" i="8"/>
  <c r="J409" i="8"/>
  <c r="F420" i="8"/>
  <c r="F624" i="8" s="1"/>
  <c r="J446" i="8"/>
  <c r="J453" i="8"/>
  <c r="J456" i="8"/>
  <c r="F459" i="8"/>
  <c r="F626" i="8" s="1"/>
  <c r="J464" i="8"/>
  <c r="J473" i="8"/>
  <c r="G484" i="8"/>
  <c r="G627" i="8" s="1"/>
  <c r="J490" i="8"/>
  <c r="J495" i="8"/>
  <c r="D500" i="8"/>
  <c r="D628" i="8" s="1"/>
  <c r="J517" i="8"/>
  <c r="J522" i="8"/>
  <c r="J526" i="8"/>
  <c r="G531" i="8"/>
  <c r="G630" i="8" s="1"/>
  <c r="J539" i="8"/>
  <c r="J542" i="8"/>
  <c r="E548" i="8"/>
  <c r="E631" i="8" s="1"/>
  <c r="J555" i="8"/>
  <c r="J561" i="8"/>
  <c r="J574" i="8"/>
  <c r="J578" i="8"/>
  <c r="J582" i="8"/>
  <c r="E15" i="14"/>
  <c r="E17" i="14" s="1"/>
  <c r="E41" i="14"/>
  <c r="E50" i="14"/>
  <c r="E265" i="14"/>
  <c r="G400" i="8"/>
  <c r="G623" i="8" s="1"/>
  <c r="G257" i="14"/>
  <c r="G260" i="14" s="1"/>
  <c r="G565" i="8"/>
  <c r="G632" i="8" s="1"/>
  <c r="G50" i="14"/>
  <c r="J17" i="8"/>
  <c r="J37" i="8"/>
  <c r="J48" i="8"/>
  <c r="J52" i="8"/>
  <c r="J69" i="8"/>
  <c r="J86" i="8"/>
  <c r="D89" i="8"/>
  <c r="D604" i="8" s="1"/>
  <c r="J97" i="8"/>
  <c r="J112" i="8"/>
  <c r="J118" i="8"/>
  <c r="J122" i="8"/>
  <c r="J126" i="8"/>
  <c r="J127" i="8"/>
  <c r="D130" i="8"/>
  <c r="D607" i="8" s="1"/>
  <c r="J137" i="8"/>
  <c r="D145" i="8"/>
  <c r="D608" i="8" s="1"/>
  <c r="J152" i="8"/>
  <c r="G529" i="14"/>
  <c r="J154" i="8"/>
  <c r="J157" i="8"/>
  <c r="J170" i="8"/>
  <c r="J171" i="8"/>
  <c r="G369" i="14"/>
  <c r="J180" i="8"/>
  <c r="D188" i="8"/>
  <c r="D610" i="8" s="1"/>
  <c r="J194" i="8"/>
  <c r="E200" i="8"/>
  <c r="E611" i="8" s="1"/>
  <c r="J214" i="8"/>
  <c r="D612" i="8"/>
  <c r="E230" i="8"/>
  <c r="E613" i="8" s="1"/>
  <c r="J268" i="8"/>
  <c r="J285" i="8"/>
  <c r="J297" i="8"/>
  <c r="E304" i="8"/>
  <c r="E616" i="8" s="1"/>
  <c r="J325" i="8"/>
  <c r="J375" i="8"/>
  <c r="D387" i="8"/>
  <c r="D622" i="8" s="1"/>
  <c r="J407" i="8"/>
  <c r="E420" i="8"/>
  <c r="E624" i="8" s="1"/>
  <c r="J449" i="8"/>
  <c r="J452" i="8"/>
  <c r="E459" i="8"/>
  <c r="E626" i="8" s="1"/>
  <c r="J467" i="8"/>
  <c r="J472" i="8"/>
  <c r="J479" i="8"/>
  <c r="F484" i="8"/>
  <c r="F627" i="8" s="1"/>
  <c r="J489" i="8"/>
  <c r="J494" i="8"/>
  <c r="G500" i="8"/>
  <c r="G628" i="8" s="1"/>
  <c r="D509" i="8"/>
  <c r="D629" i="8" s="1"/>
  <c r="F531" i="8"/>
  <c r="F630" i="8" s="1"/>
  <c r="D548" i="8"/>
  <c r="D631" i="8" s="1"/>
  <c r="J573" i="8"/>
  <c r="J585" i="8"/>
  <c r="J590" i="8"/>
  <c r="G23" i="14"/>
  <c r="G25" i="14" s="1"/>
  <c r="C529" i="14"/>
  <c r="G123" i="14"/>
  <c r="D54" i="10"/>
  <c r="G440" i="8"/>
  <c r="G625" i="8" s="1"/>
  <c r="E123" i="14"/>
  <c r="C369" i="14"/>
  <c r="H470" i="4"/>
  <c r="H662" i="14" s="1"/>
  <c r="H412" i="14"/>
  <c r="H141" i="14"/>
  <c r="H107" i="14"/>
  <c r="E130" i="14"/>
  <c r="F123" i="14"/>
  <c r="C434" i="14"/>
  <c r="C64" i="14"/>
  <c r="H306" i="4"/>
  <c r="H655" i="14" s="1"/>
  <c r="H260" i="14"/>
  <c r="C246" i="14"/>
  <c r="C249" i="14" s="1"/>
  <c r="C440" i="8"/>
  <c r="C625" i="8" s="1"/>
  <c r="D32" i="11" s="1"/>
  <c r="C464" i="14"/>
  <c r="C395" i="14"/>
  <c r="H543" i="4"/>
  <c r="H666" i="14" s="1"/>
  <c r="H434" i="14"/>
  <c r="H130" i="14"/>
  <c r="H64" i="14"/>
  <c r="H10" i="14"/>
  <c r="E440" i="8"/>
  <c r="E625" i="8" s="1"/>
  <c r="C123" i="14"/>
  <c r="H489" i="4"/>
  <c r="H663" i="14" s="1"/>
  <c r="H293" i="4"/>
  <c r="H654" i="14" s="1"/>
  <c r="H499" i="14"/>
  <c r="H395" i="14"/>
  <c r="F652" i="14" l="1"/>
  <c r="K220" i="4"/>
  <c r="F664" i="14"/>
  <c r="K497" i="4"/>
  <c r="F659" i="14"/>
  <c r="K408" i="4"/>
  <c r="F638" i="14"/>
  <c r="K18" i="4"/>
  <c r="K470" i="4"/>
  <c r="K293" i="4"/>
  <c r="K26" i="4"/>
  <c r="F670" i="14"/>
  <c r="K589" i="4"/>
  <c r="F17" i="2"/>
  <c r="K146" i="4"/>
  <c r="K401" i="4"/>
  <c r="K90" i="4"/>
  <c r="K513" i="4"/>
  <c r="K157" i="4"/>
  <c r="E663" i="14"/>
  <c r="K489" i="4"/>
  <c r="F661" i="14"/>
  <c r="K452" i="4"/>
  <c r="F660" i="14"/>
  <c r="K435" i="4"/>
  <c r="K213" i="4"/>
  <c r="E649" i="14"/>
  <c r="K199" i="4"/>
  <c r="F774" i="4"/>
  <c r="K139" i="4"/>
  <c r="E773" i="4"/>
  <c r="K118" i="4"/>
  <c r="F644" i="14"/>
  <c r="K104" i="4"/>
  <c r="F641" i="14"/>
  <c r="K70" i="4"/>
  <c r="K56" i="4"/>
  <c r="M11" i="13"/>
  <c r="K11" i="13"/>
  <c r="D11" i="1"/>
  <c r="D51" i="13"/>
  <c r="D222" i="13" s="1"/>
  <c r="E9" i="1"/>
  <c r="E231" i="3"/>
  <c r="H51" i="13"/>
  <c r="H222" i="13" s="1"/>
  <c r="M51" i="13"/>
  <c r="F231" i="3"/>
  <c r="G591" i="14"/>
  <c r="G379" i="14"/>
  <c r="H271" i="5"/>
  <c r="H243" i="13" s="1"/>
  <c r="F379" i="14"/>
  <c r="D379" i="14"/>
  <c r="J250" i="5"/>
  <c r="C50" i="12"/>
  <c r="C54" i="12" s="1"/>
  <c r="J252" i="5"/>
  <c r="E206" i="7"/>
  <c r="E133" i="13"/>
  <c r="E11" i="1"/>
  <c r="F51" i="13"/>
  <c r="F186" i="13"/>
  <c r="F188" i="13" s="1"/>
  <c r="F238" i="13" s="1"/>
  <c r="D231" i="3"/>
  <c r="E51" i="13"/>
  <c r="E222" i="13" s="1"/>
  <c r="G51" i="13"/>
  <c r="G222" i="13" s="1"/>
  <c r="G167" i="14"/>
  <c r="J52" i="13"/>
  <c r="K51" i="13"/>
  <c r="H11" i="1"/>
  <c r="F11" i="1"/>
  <c r="H152" i="13"/>
  <c r="H232" i="13" s="1"/>
  <c r="O108" i="13"/>
  <c r="F229" i="3"/>
  <c r="F20" i="1" s="1"/>
  <c r="G11" i="1"/>
  <c r="C51" i="14"/>
  <c r="G249" i="14"/>
  <c r="H492" i="14"/>
  <c r="G27" i="16"/>
  <c r="M181" i="13"/>
  <c r="M182" i="13" s="1"/>
  <c r="F28" i="1"/>
  <c r="F167" i="14"/>
  <c r="G644" i="14"/>
  <c r="G772" i="4"/>
  <c r="G670" i="14"/>
  <c r="G798" i="4"/>
  <c r="G45" i="2"/>
  <c r="G675" i="14"/>
  <c r="G650" i="14"/>
  <c r="G779" i="4"/>
  <c r="G672" i="14"/>
  <c r="G800" i="4"/>
  <c r="G669" i="14"/>
  <c r="G797" i="4"/>
  <c r="G648" i="14"/>
  <c r="G776" i="4"/>
  <c r="G660" i="14"/>
  <c r="G788" i="4"/>
  <c r="D646" i="14"/>
  <c r="D774" i="4"/>
  <c r="H646" i="14"/>
  <c r="H774" i="4"/>
  <c r="G663" i="14"/>
  <c r="G791" i="4"/>
  <c r="G649" i="14"/>
  <c r="G778" i="4"/>
  <c r="G674" i="14"/>
  <c r="G802" i="4"/>
  <c r="G653" i="14"/>
  <c r="G781" i="4"/>
  <c r="D25" i="12"/>
  <c r="E25" i="12" s="1"/>
  <c r="E492" i="14"/>
  <c r="C639" i="14"/>
  <c r="C767" i="4"/>
  <c r="C638" i="14"/>
  <c r="C766" i="4"/>
  <c r="C640" i="14"/>
  <c r="C768" i="4"/>
  <c r="J464" i="14"/>
  <c r="J465" i="14" s="1"/>
  <c r="G40" i="2"/>
  <c r="D31" i="2"/>
  <c r="D20" i="2"/>
  <c r="F233" i="3"/>
  <c r="G233" i="3"/>
  <c r="E233" i="3"/>
  <c r="D236" i="3"/>
  <c r="D12" i="1"/>
  <c r="L108" i="13"/>
  <c r="E20" i="1"/>
  <c r="K124" i="13"/>
  <c r="K125" i="13" s="1"/>
  <c r="D22" i="1"/>
  <c r="E241" i="3"/>
  <c r="E22" i="1"/>
  <c r="M152" i="13"/>
  <c r="O100" i="13"/>
  <c r="O101" i="13" s="1"/>
  <c r="H12" i="1"/>
  <c r="L61" i="13"/>
  <c r="E10" i="1"/>
  <c r="M61" i="13"/>
  <c r="L159" i="13"/>
  <c r="L160" i="13" s="1"/>
  <c r="E25" i="1"/>
  <c r="J159" i="13"/>
  <c r="J160" i="13" s="1"/>
  <c r="C25" i="1"/>
  <c r="D233" i="3"/>
  <c r="F243" i="3"/>
  <c r="F25" i="1"/>
  <c r="F241" i="3"/>
  <c r="F22" i="1" s="1"/>
  <c r="F226" i="3"/>
  <c r="F8" i="1"/>
  <c r="J44" i="13"/>
  <c r="J45" i="13" s="1"/>
  <c r="C8" i="1"/>
  <c r="G243" i="3"/>
  <c r="G25" i="1"/>
  <c r="K44" i="13"/>
  <c r="K45" i="13" s="1"/>
  <c r="D8" i="1"/>
  <c r="C232" i="3"/>
  <c r="C10" i="1"/>
  <c r="O71" i="13"/>
  <c r="O72" i="13" s="1"/>
  <c r="N44" i="13"/>
  <c r="N45" i="13" s="1"/>
  <c r="G8" i="1"/>
  <c r="H226" i="3"/>
  <c r="H8" i="1"/>
  <c r="G231" i="3"/>
  <c r="G9" i="1"/>
  <c r="D238" i="3"/>
  <c r="D20" i="1"/>
  <c r="H243" i="3"/>
  <c r="H25" i="1"/>
  <c r="G232" i="3"/>
  <c r="G10" i="1"/>
  <c r="H232" i="3"/>
  <c r="H10" i="1"/>
  <c r="C241" i="3"/>
  <c r="C22" i="1"/>
  <c r="C238" i="3"/>
  <c r="C20" i="1"/>
  <c r="J71" i="13"/>
  <c r="J72" i="13" s="1"/>
  <c r="C11" i="1"/>
  <c r="M117" i="13"/>
  <c r="M118" i="13" s="1"/>
  <c r="C239" i="3"/>
  <c r="C21" i="1"/>
  <c r="K117" i="13"/>
  <c r="K118" i="13" s="1"/>
  <c r="D21" i="1"/>
  <c r="G239" i="3"/>
  <c r="G21" i="1"/>
  <c r="C15" i="2"/>
  <c r="E379" i="14"/>
  <c r="H8" i="2"/>
  <c r="H638" i="14"/>
  <c r="D35" i="2"/>
  <c r="D665" i="14"/>
  <c r="E772" i="4"/>
  <c r="E644" i="14"/>
  <c r="D12" i="2"/>
  <c r="D642" i="14"/>
  <c r="D39" i="2"/>
  <c r="D669" i="14"/>
  <c r="E35" i="2"/>
  <c r="E665" i="14"/>
  <c r="D34" i="2"/>
  <c r="D664" i="14"/>
  <c r="D42" i="2"/>
  <c r="D672" i="14"/>
  <c r="F800" i="4"/>
  <c r="F672" i="14"/>
  <c r="D8" i="2"/>
  <c r="D638" i="14"/>
  <c r="E786" i="4"/>
  <c r="E658" i="14"/>
  <c r="G22" i="2"/>
  <c r="G652" i="14"/>
  <c r="G11" i="2"/>
  <c r="G641" i="14"/>
  <c r="N434" i="14"/>
  <c r="N435" i="14" s="1"/>
  <c r="G665" i="14"/>
  <c r="H777" i="4"/>
  <c r="H651" i="14"/>
  <c r="C35" i="2"/>
  <c r="C665" i="14"/>
  <c r="F777" i="4"/>
  <c r="F651" i="14"/>
  <c r="F793" i="4"/>
  <c r="F665" i="14"/>
  <c r="L80" i="14"/>
  <c r="E642" i="14"/>
  <c r="D18" i="2"/>
  <c r="D648" i="14"/>
  <c r="F770" i="4"/>
  <c r="F642" i="14"/>
  <c r="F782" i="4"/>
  <c r="F654" i="14"/>
  <c r="D801" i="4"/>
  <c r="D673" i="14"/>
  <c r="D36" i="2"/>
  <c r="D666" i="14"/>
  <c r="E37" i="2"/>
  <c r="E667" i="14"/>
  <c r="H43" i="2"/>
  <c r="H673" i="14"/>
  <c r="L25" i="14"/>
  <c r="L26" i="14" s="1"/>
  <c r="E639" i="14"/>
  <c r="G17" i="2"/>
  <c r="G647" i="14"/>
  <c r="E801" i="4"/>
  <c r="E673" i="14"/>
  <c r="G43" i="2"/>
  <c r="G673" i="14"/>
  <c r="G37" i="2"/>
  <c r="G667" i="14"/>
  <c r="C11" i="2"/>
  <c r="C641" i="14"/>
  <c r="C777" i="4"/>
  <c r="C651" i="14"/>
  <c r="F794" i="4"/>
  <c r="F666" i="14"/>
  <c r="K249" i="14"/>
  <c r="D654" i="14"/>
  <c r="F767" i="4"/>
  <c r="F639" i="14"/>
  <c r="F646" i="14"/>
  <c r="L64" i="14"/>
  <c r="L65" i="14" s="1"/>
  <c r="E641" i="14"/>
  <c r="E40" i="2"/>
  <c r="E670" i="14"/>
  <c r="K25" i="14"/>
  <c r="K26" i="14" s="1"/>
  <c r="D639" i="14"/>
  <c r="N331" i="14"/>
  <c r="N332" i="14" s="1"/>
  <c r="G658" i="14"/>
  <c r="G654" i="14"/>
  <c r="F796" i="4"/>
  <c r="F668" i="14"/>
  <c r="D33" i="2"/>
  <c r="D663" i="14"/>
  <c r="L141" i="14"/>
  <c r="L142" i="14" s="1"/>
  <c r="E648" i="14"/>
  <c r="G8" i="2"/>
  <c r="G638" i="14"/>
  <c r="H37" i="2"/>
  <c r="H667" i="14"/>
  <c r="E780" i="4"/>
  <c r="E652" i="14"/>
  <c r="E13" i="2"/>
  <c r="E643" i="14"/>
  <c r="L529" i="14"/>
  <c r="L530" i="14" s="1"/>
  <c r="E672" i="14"/>
  <c r="K87" i="14"/>
  <c r="K88" i="14" s="1"/>
  <c r="D643" i="14"/>
  <c r="F786" i="4"/>
  <c r="F658" i="14"/>
  <c r="G36" i="2"/>
  <c r="G666" i="14"/>
  <c r="G661" i="14"/>
  <c r="G659" i="14"/>
  <c r="L249" i="14"/>
  <c r="E654" i="14"/>
  <c r="K188" i="14"/>
  <c r="K189" i="14" s="1"/>
  <c r="D652" i="14"/>
  <c r="E8" i="2"/>
  <c r="E638" i="14"/>
  <c r="H35" i="2"/>
  <c r="H665" i="14"/>
  <c r="H792" i="4"/>
  <c r="H664" i="14"/>
  <c r="E36" i="2"/>
  <c r="E666" i="14"/>
  <c r="E646" i="14"/>
  <c r="D787" i="4"/>
  <c r="D659" i="14"/>
  <c r="D17" i="2"/>
  <c r="D647" i="14"/>
  <c r="E17" i="2"/>
  <c r="E647" i="14"/>
  <c r="N80" i="14"/>
  <c r="N81" i="14" s="1"/>
  <c r="G642" i="14"/>
  <c r="G639" i="14"/>
  <c r="E789" i="4"/>
  <c r="E661" i="14"/>
  <c r="C770" i="4"/>
  <c r="C642" i="14"/>
  <c r="J87" i="14"/>
  <c r="J88" i="14" s="1"/>
  <c r="C643" i="14"/>
  <c r="F791" i="4"/>
  <c r="F663" i="14"/>
  <c r="F776" i="4"/>
  <c r="F648" i="14"/>
  <c r="D40" i="2"/>
  <c r="D670" i="14"/>
  <c r="E39" i="2"/>
  <c r="E669" i="14"/>
  <c r="D772" i="4"/>
  <c r="D644" i="14"/>
  <c r="D37" i="2"/>
  <c r="D667" i="14"/>
  <c r="L338" i="14"/>
  <c r="L339" i="14" s="1"/>
  <c r="E659" i="14"/>
  <c r="D11" i="2"/>
  <c r="D641" i="14"/>
  <c r="D28" i="2"/>
  <c r="D658" i="14"/>
  <c r="G16" i="2"/>
  <c r="G646" i="14"/>
  <c r="G13" i="2"/>
  <c r="G643" i="14"/>
  <c r="L194" i="14"/>
  <c r="L195" i="14" s="1"/>
  <c r="E651" i="14"/>
  <c r="C43" i="2"/>
  <c r="C673" i="14"/>
  <c r="F788" i="4"/>
  <c r="E788" i="4"/>
  <c r="G640" i="14"/>
  <c r="F768" i="4"/>
  <c r="F640" i="14"/>
  <c r="E10" i="2"/>
  <c r="E640" i="14"/>
  <c r="K51" i="14"/>
  <c r="K52" i="14" s="1"/>
  <c r="D640" i="14"/>
  <c r="D23" i="2"/>
  <c r="D653" i="14"/>
  <c r="C23" i="2"/>
  <c r="C653" i="14"/>
  <c r="G765" i="4"/>
  <c r="G637" i="14"/>
  <c r="F765" i="4"/>
  <c r="F637" i="14"/>
  <c r="E765" i="4"/>
  <c r="E637" i="14"/>
  <c r="K10" i="14"/>
  <c r="K11" i="14" s="1"/>
  <c r="D637" i="14"/>
  <c r="O321" i="14"/>
  <c r="H657" i="14"/>
  <c r="N321" i="14"/>
  <c r="G657" i="14"/>
  <c r="G671" i="14"/>
  <c r="L520" i="14"/>
  <c r="L521" i="14" s="1"/>
  <c r="E671" i="14"/>
  <c r="D41" i="2"/>
  <c r="D671" i="14"/>
  <c r="C41" i="2"/>
  <c r="C671" i="14"/>
  <c r="G32" i="2"/>
  <c r="G662" i="14"/>
  <c r="D32" i="2"/>
  <c r="D662" i="14"/>
  <c r="F790" i="4"/>
  <c r="F662" i="14"/>
  <c r="E32" i="2"/>
  <c r="E662" i="14"/>
  <c r="O107" i="14"/>
  <c r="O108" i="14" s="1"/>
  <c r="H645" i="14"/>
  <c r="G15" i="2"/>
  <c r="G645" i="14"/>
  <c r="F645" i="14"/>
  <c r="E645" i="14"/>
  <c r="D15" i="2"/>
  <c r="D645" i="14"/>
  <c r="F779" i="4"/>
  <c r="F650" i="14"/>
  <c r="D21" i="2"/>
  <c r="D650" i="14"/>
  <c r="N260" i="14"/>
  <c r="N261" i="14" s="1"/>
  <c r="G655" i="14"/>
  <c r="L260" i="14"/>
  <c r="L261" i="14" s="1"/>
  <c r="E655" i="14"/>
  <c r="D783" i="4"/>
  <c r="D655" i="14"/>
  <c r="H784" i="4"/>
  <c r="H656" i="14"/>
  <c r="G26" i="2"/>
  <c r="G656" i="14"/>
  <c r="F784" i="4"/>
  <c r="F656" i="14"/>
  <c r="E784" i="4"/>
  <c r="E656" i="14"/>
  <c r="D26" i="2"/>
  <c r="D656" i="14"/>
  <c r="G238" i="3"/>
  <c r="K18" i="13"/>
  <c r="L18" i="13"/>
  <c r="G227" i="14"/>
  <c r="E249" i="14"/>
  <c r="F249" i="14"/>
  <c r="H285" i="14"/>
  <c r="E80" i="14"/>
  <c r="E152" i="13"/>
  <c r="E232" i="13" s="1"/>
  <c r="O11" i="13"/>
  <c r="L93" i="13"/>
  <c r="H870" i="6"/>
  <c r="H227" i="14"/>
  <c r="H53" i="16"/>
  <c r="G26" i="16"/>
  <c r="G18" i="16"/>
  <c r="G19" i="16"/>
  <c r="G40" i="16"/>
  <c r="G23" i="16"/>
  <c r="G17" i="16"/>
  <c r="G24" i="16"/>
  <c r="G22" i="16"/>
  <c r="G25" i="16"/>
  <c r="G21" i="16"/>
  <c r="I53" i="16"/>
  <c r="D249" i="14"/>
  <c r="E870" i="6"/>
  <c r="E636" i="8" s="1"/>
  <c r="C73" i="10"/>
  <c r="O18" i="13"/>
  <c r="G152" i="13"/>
  <c r="G232" i="13" s="1"/>
  <c r="E108" i="13"/>
  <c r="E229" i="13" s="1"/>
  <c r="G271" i="5"/>
  <c r="G252" i="3" s="1"/>
  <c r="E28" i="1"/>
  <c r="D152" i="13"/>
  <c r="D232" i="13" s="1"/>
  <c r="N11" i="13"/>
  <c r="L11" i="13"/>
  <c r="F152" i="13"/>
  <c r="F232" i="13" s="1"/>
  <c r="E227" i="7"/>
  <c r="H108" i="13"/>
  <c r="H229" i="13" s="1"/>
  <c r="G108" i="13"/>
  <c r="G229" i="13" s="1"/>
  <c r="N18" i="13"/>
  <c r="L23" i="13"/>
  <c r="L24" i="13" s="1"/>
  <c r="D229" i="13"/>
  <c r="F108" i="13"/>
  <c r="F229" i="13" s="1"/>
  <c r="G492" i="14"/>
  <c r="E11" i="12"/>
  <c r="C229" i="13"/>
  <c r="D492" i="14"/>
  <c r="E77" i="8"/>
  <c r="G77" i="8"/>
  <c r="G605" i="8" s="1"/>
  <c r="H77" i="8"/>
  <c r="H605" i="8" s="1"/>
  <c r="G593" i="8"/>
  <c r="G633" i="8" s="1"/>
  <c r="D77" i="8"/>
  <c r="D605" i="8" s="1"/>
  <c r="D40" i="11"/>
  <c r="G870" i="6"/>
  <c r="G636" i="8" s="1"/>
  <c r="F181" i="14"/>
  <c r="C379" i="14"/>
  <c r="H379" i="14"/>
  <c r="G51" i="14"/>
  <c r="J194" i="14"/>
  <c r="J195" i="14" s="1"/>
  <c r="E19" i="2"/>
  <c r="C19" i="2"/>
  <c r="E777" i="4"/>
  <c r="H19" i="2"/>
  <c r="O194" i="14"/>
  <c r="O195" i="14" s="1"/>
  <c r="M194" i="14"/>
  <c r="M195" i="14" s="1"/>
  <c r="G7" i="2"/>
  <c r="F19" i="2"/>
  <c r="F8" i="2"/>
  <c r="F766" i="4"/>
  <c r="F772" i="4"/>
  <c r="F769" i="4"/>
  <c r="C218" i="7"/>
  <c r="C201" i="7"/>
  <c r="E27" i="1"/>
  <c r="K108" i="13"/>
  <c r="K109" i="13" s="1"/>
  <c r="E40" i="12"/>
  <c r="C65" i="10"/>
  <c r="M94" i="14"/>
  <c r="M95" i="14" s="1"/>
  <c r="F31" i="2"/>
  <c r="F789" i="4"/>
  <c r="E7" i="2"/>
  <c r="F22" i="2"/>
  <c r="F780" i="4"/>
  <c r="M80" i="14"/>
  <c r="F40" i="2"/>
  <c r="F798" i="4"/>
  <c r="F11" i="2"/>
  <c r="F9" i="2"/>
  <c r="M260" i="14"/>
  <c r="M261" i="14" s="1"/>
  <c r="F783" i="4"/>
  <c r="C46" i="12"/>
  <c r="M131" i="14"/>
  <c r="F775" i="4"/>
  <c r="F29" i="2"/>
  <c r="F787" i="4"/>
  <c r="M167" i="14"/>
  <c r="F778" i="4"/>
  <c r="F37" i="2"/>
  <c r="F795" i="4"/>
  <c r="M51" i="14"/>
  <c r="E37" i="12"/>
  <c r="O181" i="13"/>
  <c r="O182" i="13" s="1"/>
  <c r="N51" i="13"/>
  <c r="F653" i="14"/>
  <c r="K23" i="15"/>
  <c r="D51" i="12"/>
  <c r="E51" i="12" s="1"/>
  <c r="D63" i="12"/>
  <c r="E63" i="12" s="1"/>
  <c r="D42" i="12"/>
  <c r="D64" i="12"/>
  <c r="E64" i="12" s="1"/>
  <c r="D26" i="12"/>
  <c r="E26" i="12" s="1"/>
  <c r="D33" i="12"/>
  <c r="E33" i="12" s="1"/>
  <c r="D24" i="12"/>
  <c r="E24" i="12" s="1"/>
  <c r="D53" i="12"/>
  <c r="E53" i="12" s="1"/>
  <c r="D9" i="12"/>
  <c r="E9" i="12" s="1"/>
  <c r="D48" i="12"/>
  <c r="D45" i="12"/>
  <c r="E45" i="12" s="1"/>
  <c r="D31" i="12"/>
  <c r="E31" i="12" s="1"/>
  <c r="D59" i="12"/>
  <c r="E59" i="12" s="1"/>
  <c r="D20" i="12"/>
  <c r="E20" i="12" s="1"/>
  <c r="D19" i="12"/>
  <c r="E19" i="12" s="1"/>
  <c r="D27" i="12"/>
  <c r="E27" i="12" s="1"/>
  <c r="D43" i="12"/>
  <c r="E43" i="12" s="1"/>
  <c r="D56" i="12"/>
  <c r="E56" i="12" s="1"/>
  <c r="D58" i="12"/>
  <c r="E58" i="12" s="1"/>
  <c r="D30" i="12"/>
  <c r="E30" i="12" s="1"/>
  <c r="D72" i="12"/>
  <c r="E72" i="12" s="1"/>
  <c r="D69" i="12"/>
  <c r="E69" i="12" s="1"/>
  <c r="D17" i="12"/>
  <c r="E17" i="12" s="1"/>
  <c r="D36" i="12"/>
  <c r="E36" i="12" s="1"/>
  <c r="D50" i="12"/>
  <c r="D10" i="12"/>
  <c r="E10" i="12" s="1"/>
  <c r="D34" i="12"/>
  <c r="E34" i="12" s="1"/>
  <c r="D16" i="12"/>
  <c r="E16" i="12" s="1"/>
  <c r="D49" i="12"/>
  <c r="E49" i="12" s="1"/>
  <c r="D62" i="12"/>
  <c r="D23" i="12"/>
  <c r="E23" i="12" s="1"/>
  <c r="D67" i="12"/>
  <c r="E67" i="12" s="1"/>
  <c r="D44" i="12"/>
  <c r="E44" i="12" s="1"/>
  <c r="D12" i="12"/>
  <c r="E12" i="12" s="1"/>
  <c r="D18" i="12"/>
  <c r="E18" i="12" s="1"/>
  <c r="D71" i="12"/>
  <c r="E71" i="12" s="1"/>
  <c r="D13" i="12"/>
  <c r="E13" i="12" s="1"/>
  <c r="D35" i="12"/>
  <c r="E35" i="12" s="1"/>
  <c r="E197" i="13"/>
  <c r="E239" i="13" s="1"/>
  <c r="D766" i="4"/>
  <c r="M529" i="14"/>
  <c r="M530" i="14" s="1"/>
  <c r="C28" i="1"/>
  <c r="G234" i="3"/>
  <c r="J24" i="13"/>
  <c r="N108" i="13"/>
  <c r="H217" i="7"/>
  <c r="J100" i="13"/>
  <c r="J101" i="13" s="1"/>
  <c r="H238" i="3"/>
  <c r="C246" i="3"/>
  <c r="F234" i="3"/>
  <c r="C143" i="7"/>
  <c r="C32" i="11" s="1"/>
  <c r="E32" i="11" s="1"/>
  <c r="F238" i="3"/>
  <c r="H246" i="3"/>
  <c r="M108" i="13"/>
  <c r="N152" i="13"/>
  <c r="H234" i="3"/>
  <c r="E238" i="3"/>
  <c r="C216" i="7"/>
  <c r="J188" i="13"/>
  <c r="D200" i="7"/>
  <c r="E246" i="3"/>
  <c r="K181" i="13"/>
  <c r="K182" i="13" s="1"/>
  <c r="H236" i="3"/>
  <c r="H197" i="13"/>
  <c r="H239" i="13" s="1"/>
  <c r="E29" i="2"/>
  <c r="L188" i="13"/>
  <c r="E247" i="3"/>
  <c r="C236" i="3"/>
  <c r="E200" i="7"/>
  <c r="E243" i="3"/>
  <c r="C161" i="8"/>
  <c r="C609" i="8" s="1"/>
  <c r="D16" i="11" s="1"/>
  <c r="E9" i="2"/>
  <c r="D771" i="4"/>
  <c r="N10" i="14"/>
  <c r="N11" i="14" s="1"/>
  <c r="K130" i="14"/>
  <c r="K131" i="14" s="1"/>
  <c r="M64" i="14"/>
  <c r="M65" i="14" s="1"/>
  <c r="D13" i="2"/>
  <c r="G200" i="7"/>
  <c r="J200" i="7" s="1"/>
  <c r="K200" i="7" s="1"/>
  <c r="C193" i="13"/>
  <c r="C197" i="13" s="1"/>
  <c r="C239" i="13" s="1"/>
  <c r="K338" i="14"/>
  <c r="K339" i="14" s="1"/>
  <c r="N25" i="14"/>
  <c r="N26" i="14" s="1"/>
  <c r="N100" i="13"/>
  <c r="N101" i="13" s="1"/>
  <c r="J79" i="13"/>
  <c r="J80" i="13" s="1"/>
  <c r="G236" i="3"/>
  <c r="G217" i="7"/>
  <c r="J217" i="7" s="1"/>
  <c r="K217" i="7" s="1"/>
  <c r="K197" i="13"/>
  <c r="D217" i="7"/>
  <c r="E217" i="7"/>
  <c r="G197" i="13"/>
  <c r="G239" i="13" s="1"/>
  <c r="O188" i="13"/>
  <c r="K188" i="13"/>
  <c r="D234" i="3"/>
  <c r="D232" i="3"/>
  <c r="D235" i="3"/>
  <c r="J124" i="13"/>
  <c r="J125" i="13" s="1"/>
  <c r="E234" i="3"/>
  <c r="J87" i="13"/>
  <c r="H29" i="1"/>
  <c r="M173" i="13"/>
  <c r="M174" i="13" s="1"/>
  <c r="D28" i="1"/>
  <c r="F27" i="1"/>
  <c r="N159" i="13"/>
  <c r="N160" i="13" s="1"/>
  <c r="M188" i="13"/>
  <c r="N71" i="13"/>
  <c r="N72" i="13" s="1"/>
  <c r="F200" i="7"/>
  <c r="F239" i="3"/>
  <c r="F21" i="1" s="1"/>
  <c r="D197" i="13"/>
  <c r="D239" i="13" s="1"/>
  <c r="G604" i="14"/>
  <c r="G629" i="14" s="1"/>
  <c r="G161" i="8"/>
  <c r="G609" i="8" s="1"/>
  <c r="C304" i="8"/>
  <c r="C616" i="8" s="1"/>
  <c r="D23" i="11" s="1"/>
  <c r="N24" i="13"/>
  <c r="F194" i="13"/>
  <c r="F197" i="13" s="1"/>
  <c r="F239" i="13" s="1"/>
  <c r="J150" i="8"/>
  <c r="F481" i="14"/>
  <c r="F227" i="14"/>
  <c r="J68" i="8"/>
  <c r="D161" i="8"/>
  <c r="D609" i="8" s="1"/>
  <c r="E161" i="8"/>
  <c r="E609" i="8" s="1"/>
  <c r="F161" i="8"/>
  <c r="F609" i="8" s="1"/>
  <c r="C77" i="8"/>
  <c r="C605" i="8" s="1"/>
  <c r="D12" i="11" s="1"/>
  <c r="N141" i="14"/>
  <c r="N142" i="14" s="1"/>
  <c r="D9" i="2"/>
  <c r="H240" i="3"/>
  <c r="F240" i="3"/>
  <c r="F23" i="1" s="1"/>
  <c r="C15" i="11"/>
  <c r="E15" i="11" s="1"/>
  <c r="N379" i="14"/>
  <c r="G31" i="2"/>
  <c r="D767" i="4"/>
  <c r="E799" i="4"/>
  <c r="D29" i="2"/>
  <c r="E39" i="11"/>
  <c r="D28" i="10"/>
  <c r="K464" i="14"/>
  <c r="K465" i="14" s="1"/>
  <c r="N456" i="14"/>
  <c r="N457" i="14" s="1"/>
  <c r="L331" i="14"/>
  <c r="L332" i="14" s="1"/>
  <c r="L379" i="14"/>
  <c r="G28" i="2"/>
  <c r="E232" i="3"/>
  <c r="G240" i="3"/>
  <c r="L173" i="13"/>
  <c r="L174" i="13" s="1"/>
  <c r="C28" i="12"/>
  <c r="G229" i="3"/>
  <c r="D7" i="2"/>
  <c r="F15" i="2"/>
  <c r="K61" i="13"/>
  <c r="K62" i="13" s="1"/>
  <c r="C226" i="3"/>
  <c r="D226" i="3"/>
  <c r="D765" i="4"/>
  <c r="E31" i="2"/>
  <c r="M107" i="14"/>
  <c r="M108" i="14" s="1"/>
  <c r="M159" i="13"/>
  <c r="M160" i="13" s="1"/>
  <c r="F246" i="3"/>
  <c r="L36" i="13"/>
  <c r="L37" i="13" s="1"/>
  <c r="E75" i="10"/>
  <c r="E80" i="10" s="1"/>
  <c r="F32" i="2"/>
  <c r="C235" i="3"/>
  <c r="D21" i="10"/>
  <c r="E25" i="11"/>
  <c r="J520" i="14"/>
  <c r="J521" i="14" s="1"/>
  <c r="K420" i="14"/>
  <c r="K421" i="14" s="1"/>
  <c r="N94" i="14"/>
  <c r="N95" i="14" s="1"/>
  <c r="E800" i="4"/>
  <c r="M17" i="14"/>
  <c r="M18" i="14" s="1"/>
  <c r="E770" i="4"/>
  <c r="G18" i="2"/>
  <c r="D792" i="4"/>
  <c r="G14" i="2"/>
  <c r="E42" i="2"/>
  <c r="G35" i="2"/>
  <c r="D800" i="4"/>
  <c r="L10" i="14"/>
  <c r="L11" i="14" s="1"/>
  <c r="C37" i="2"/>
  <c r="L17" i="14"/>
  <c r="L18" i="14" s="1"/>
  <c r="D25" i="2"/>
  <c r="K331" i="14"/>
  <c r="K332" i="14" s="1"/>
  <c r="M421" i="14"/>
  <c r="L421" i="14"/>
  <c r="D795" i="4"/>
  <c r="E14" i="2"/>
  <c r="M499" i="14"/>
  <c r="M500" i="14" s="1"/>
  <c r="D60" i="10"/>
  <c r="D73" i="10"/>
  <c r="D38" i="10"/>
  <c r="D22" i="2"/>
  <c r="D779" i="4"/>
  <c r="K181" i="14"/>
  <c r="K182" i="14" s="1"/>
  <c r="D769" i="4"/>
  <c r="F42" i="2"/>
  <c r="O197" i="13"/>
  <c r="L130" i="14"/>
  <c r="L131" i="14" s="1"/>
  <c r="E775" i="4"/>
  <c r="D775" i="4"/>
  <c r="F61" i="13"/>
  <c r="E61" i="13"/>
  <c r="O87" i="13"/>
  <c r="M80" i="13"/>
  <c r="F71" i="13"/>
  <c r="F224" i="13" s="1"/>
  <c r="M71" i="13"/>
  <c r="C27" i="1"/>
  <c r="H241" i="3"/>
  <c r="L197" i="13"/>
  <c r="G245" i="3"/>
  <c r="O124" i="13"/>
  <c r="O125" i="13" s="1"/>
  <c r="M44" i="13"/>
  <c r="E248" i="3"/>
  <c r="K152" i="13"/>
  <c r="O80" i="13"/>
  <c r="H225" i="13"/>
  <c r="D29" i="1"/>
  <c r="E235" i="3"/>
  <c r="E10" i="11"/>
  <c r="H248" i="3"/>
  <c r="G28" i="1"/>
  <c r="K173" i="13"/>
  <c r="K174" i="13" s="1"/>
  <c r="K100" i="13"/>
  <c r="K101" i="13" s="1"/>
  <c r="C65" i="12"/>
  <c r="N181" i="13"/>
  <c r="N182" i="13" s="1"/>
  <c r="D27" i="1"/>
  <c r="M124" i="13"/>
  <c r="M125" i="13" s="1"/>
  <c r="M86" i="13"/>
  <c r="M87" i="13" s="1"/>
  <c r="M24" i="13"/>
  <c r="G117" i="13"/>
  <c r="G230" i="13" s="1"/>
  <c r="G247" i="3"/>
  <c r="C202" i="7"/>
  <c r="O173" i="13"/>
  <c r="O174" i="13" s="1"/>
  <c r="H235" i="3"/>
  <c r="N188" i="13"/>
  <c r="N189" i="13" s="1"/>
  <c r="C117" i="13"/>
  <c r="C230" i="13" s="1"/>
  <c r="J108" i="13"/>
  <c r="J109" i="13" s="1"/>
  <c r="I530" i="8"/>
  <c r="N197" i="13"/>
  <c r="H27" i="1"/>
  <c r="F44" i="13"/>
  <c r="F221" i="13" s="1"/>
  <c r="N188" i="14"/>
  <c r="N189" i="14" s="1"/>
  <c r="E22" i="2"/>
  <c r="M181" i="14"/>
  <c r="D240" i="3"/>
  <c r="J152" i="13"/>
  <c r="J153" i="13" s="1"/>
  <c r="C240" i="3"/>
  <c r="F80" i="14"/>
  <c r="E31" i="11"/>
  <c r="E37" i="11"/>
  <c r="E9" i="11"/>
  <c r="E790" i="4"/>
  <c r="D786" i="4"/>
  <c r="L499" i="14"/>
  <c r="L500" i="14" s="1"/>
  <c r="E30" i="2"/>
  <c r="K395" i="14"/>
  <c r="K396" i="14" s="1"/>
  <c r="G12" i="2"/>
  <c r="M338" i="14"/>
  <c r="M339" i="14" s="1"/>
  <c r="K529" i="14"/>
  <c r="K530" i="14" s="1"/>
  <c r="N338" i="14"/>
  <c r="N339" i="14" s="1"/>
  <c r="L87" i="14"/>
  <c r="L88" i="14" s="1"/>
  <c r="M25" i="14"/>
  <c r="M26" i="14" s="1"/>
  <c r="D770" i="4"/>
  <c r="C773" i="4"/>
  <c r="E795" i="4"/>
  <c r="G29" i="2"/>
  <c r="E18" i="2"/>
  <c r="K94" i="14"/>
  <c r="K95" i="14" s="1"/>
  <c r="N64" i="14"/>
  <c r="N65" i="14" s="1"/>
  <c r="K434" i="14"/>
  <c r="K435" i="14" s="1"/>
  <c r="E771" i="4"/>
  <c r="E15" i="2"/>
  <c r="J547" i="14"/>
  <c r="J548" i="14" s="1"/>
  <c r="L464" i="14"/>
  <c r="L465" i="14" s="1"/>
  <c r="D14" i="2"/>
  <c r="D793" i="4"/>
  <c r="G25" i="2"/>
  <c r="N499" i="14"/>
  <c r="N500" i="14" s="1"/>
  <c r="C46" i="10"/>
  <c r="L547" i="14"/>
  <c r="L548" i="14" s="1"/>
  <c r="E11" i="2"/>
  <c r="G30" i="1"/>
  <c r="F248" i="3"/>
  <c r="M197" i="13"/>
  <c r="G10" i="2"/>
  <c r="G27" i="2"/>
  <c r="N421" i="14"/>
  <c r="N547" i="14"/>
  <c r="N548" i="14" s="1"/>
  <c r="E43" i="2"/>
  <c r="K547" i="14"/>
  <c r="K548" i="14" s="1"/>
  <c r="D43" i="2"/>
  <c r="C801" i="4"/>
  <c r="E34" i="11"/>
  <c r="G41" i="2"/>
  <c r="D799" i="4"/>
  <c r="K64" i="14"/>
  <c r="K65" i="14" s="1"/>
  <c r="L107" i="14"/>
  <c r="L108" i="14" s="1"/>
  <c r="K107" i="14"/>
  <c r="K108" i="14" s="1"/>
  <c r="G241" i="3"/>
  <c r="L124" i="13"/>
  <c r="L125" i="13" s="1"/>
  <c r="O44" i="13"/>
  <c r="O45" i="13" s="1"/>
  <c r="G226" i="3"/>
  <c r="E226" i="3"/>
  <c r="L44" i="13"/>
  <c r="L45" i="13" s="1"/>
  <c r="N79" i="13"/>
  <c r="N80" i="13" s="1"/>
  <c r="D225" i="13"/>
  <c r="K80" i="13"/>
  <c r="C233" i="3"/>
  <c r="D789" i="4"/>
  <c r="E783" i="4"/>
  <c r="E25" i="2"/>
  <c r="E41" i="2"/>
  <c r="C799" i="4"/>
  <c r="E12" i="2"/>
  <c r="M464" i="14"/>
  <c r="M465" i="14" s="1"/>
  <c r="C795" i="4"/>
  <c r="N51" i="14"/>
  <c r="N123" i="14"/>
  <c r="N124" i="14" s="1"/>
  <c r="D791" i="4"/>
  <c r="D782" i="4"/>
  <c r="K412" i="14"/>
  <c r="K413" i="14" s="1"/>
  <c r="E26" i="2"/>
  <c r="D790" i="4"/>
  <c r="D10" i="2"/>
  <c r="M412" i="14"/>
  <c r="M413" i="14" s="1"/>
  <c r="E798" i="4"/>
  <c r="K141" i="14"/>
  <c r="K142" i="14" s="1"/>
  <c r="G9" i="2"/>
  <c r="E776" i="4"/>
  <c r="E787" i="4"/>
  <c r="K167" i="14"/>
  <c r="K168" i="14" s="1"/>
  <c r="E794" i="4"/>
  <c r="K456" i="14"/>
  <c r="K457" i="14" s="1"/>
  <c r="N395" i="14"/>
  <c r="N396" i="14" s="1"/>
  <c r="K499" i="14"/>
  <c r="K500" i="14" s="1"/>
  <c r="N130" i="14"/>
  <c r="N131" i="14" s="1"/>
  <c r="D776" i="4"/>
  <c r="N87" i="14"/>
  <c r="N88" i="14" s="1"/>
  <c r="N17" i="14"/>
  <c r="N18" i="14" s="1"/>
  <c r="D794" i="4"/>
  <c r="L188" i="14"/>
  <c r="L189" i="14" s="1"/>
  <c r="N285" i="14"/>
  <c r="E782" i="4"/>
  <c r="L456" i="14"/>
  <c r="L457" i="14" s="1"/>
  <c r="L94" i="14"/>
  <c r="L95" i="14" s="1"/>
  <c r="N249" i="14"/>
  <c r="M188" i="14"/>
  <c r="M189" i="14" s="1"/>
  <c r="O159" i="13"/>
  <c r="O160" i="13" s="1"/>
  <c r="C243" i="3"/>
  <c r="F29" i="1"/>
  <c r="C29" i="1"/>
  <c r="J197" i="13"/>
  <c r="C248" i="3"/>
  <c r="L492" i="14"/>
  <c r="E797" i="4"/>
  <c r="M395" i="14"/>
  <c r="M396" i="14" s="1"/>
  <c r="N520" i="14"/>
  <c r="N521" i="14" s="1"/>
  <c r="K492" i="14"/>
  <c r="D797" i="4"/>
  <c r="F232" i="3"/>
  <c r="F33" i="2"/>
  <c r="D778" i="4"/>
  <c r="F21" i="2"/>
  <c r="K379" i="14"/>
  <c r="D798" i="4"/>
  <c r="N107" i="14"/>
  <c r="N108" i="14" s="1"/>
  <c r="M141" i="14"/>
  <c r="M142" i="14" s="1"/>
  <c r="L395" i="14"/>
  <c r="L396" i="14" s="1"/>
  <c r="K520" i="14"/>
  <c r="K521" i="14" s="1"/>
  <c r="L434" i="14"/>
  <c r="L435" i="14" s="1"/>
  <c r="F25" i="2"/>
  <c r="F14" i="2"/>
  <c r="F10" i="2"/>
  <c r="G24" i="2"/>
  <c r="N464" i="14"/>
  <c r="N465" i="14" s="1"/>
  <c r="E793" i="4"/>
  <c r="L285" i="14"/>
  <c r="H795" i="4"/>
  <c r="K260" i="14"/>
  <c r="K261" i="14" s="1"/>
  <c r="F18" i="2"/>
  <c r="M379" i="14"/>
  <c r="D780" i="4"/>
  <c r="K285" i="14"/>
  <c r="D784" i="4"/>
  <c r="D14" i="10"/>
  <c r="K80" i="14"/>
  <c r="K81" i="14" s="1"/>
  <c r="G27" i="1"/>
  <c r="K87" i="13"/>
  <c r="D781" i="4"/>
  <c r="D24" i="2"/>
  <c r="M249" i="14"/>
  <c r="K227" i="14"/>
  <c r="K228" i="14" s="1"/>
  <c r="F24" i="2"/>
  <c r="O152" i="13"/>
  <c r="E240" i="3"/>
  <c r="J61" i="13"/>
  <c r="J62" i="13" s="1"/>
  <c r="Q322" i="8"/>
  <c r="D768" i="4"/>
  <c r="I277" i="8"/>
  <c r="O285" i="14"/>
  <c r="D46" i="10"/>
  <c r="L51" i="14"/>
  <c r="K18" i="14"/>
  <c r="N87" i="13"/>
  <c r="O24" i="13"/>
  <c r="L87" i="13"/>
  <c r="H233" i="3"/>
  <c r="K71" i="13"/>
  <c r="K72" i="13" s="1"/>
  <c r="N124" i="13"/>
  <c r="N125" i="13" s="1"/>
  <c r="C40" i="11"/>
  <c r="G235" i="3"/>
  <c r="J64" i="14"/>
  <c r="J65" i="14" s="1"/>
  <c r="D65" i="10"/>
  <c r="L117" i="13"/>
  <c r="L118" i="13" s="1"/>
  <c r="E239" i="3"/>
  <c r="C13" i="2"/>
  <c r="H793" i="4"/>
  <c r="C771" i="4"/>
  <c r="C38" i="12"/>
  <c r="L182" i="13"/>
  <c r="J434" i="14"/>
  <c r="J435" i="14" s="1"/>
  <c r="O464" i="14"/>
  <c r="O465" i="14" s="1"/>
  <c r="O420" i="14"/>
  <c r="O421" i="14" s="1"/>
  <c r="H34" i="2"/>
  <c r="C34" i="2"/>
  <c r="J420" i="14"/>
  <c r="J421" i="14" s="1"/>
  <c r="H800" i="4"/>
  <c r="H42" i="2"/>
  <c r="O529" i="14"/>
  <c r="O530" i="14" s="1"/>
  <c r="E17" i="11"/>
  <c r="H772" i="4"/>
  <c r="H14" i="2"/>
  <c r="O94" i="14"/>
  <c r="O95" i="14" s="1"/>
  <c r="J80" i="14"/>
  <c r="J81" i="14" s="1"/>
  <c r="C793" i="4"/>
  <c r="C775" i="4"/>
  <c r="C17" i="2"/>
  <c r="J130" i="14"/>
  <c r="J131" i="14" s="1"/>
  <c r="H798" i="4"/>
  <c r="O499" i="14"/>
  <c r="O500" i="14" s="1"/>
  <c r="H40" i="2"/>
  <c r="C787" i="4"/>
  <c r="J338" i="14"/>
  <c r="J339" i="14" s="1"/>
  <c r="C29" i="2"/>
  <c r="J227" i="14"/>
  <c r="J228" i="14" s="1"/>
  <c r="F12" i="2"/>
  <c r="C12" i="2"/>
  <c r="N61" i="13"/>
  <c r="N62" i="13" s="1"/>
  <c r="L80" i="13"/>
  <c r="D241" i="3"/>
  <c r="C224" i="13"/>
  <c r="E16" i="2"/>
  <c r="C781" i="4"/>
  <c r="O434" i="14"/>
  <c r="O435" i="14" s="1"/>
  <c r="N117" i="13"/>
  <c r="J117" i="13"/>
  <c r="D30" i="1"/>
  <c r="K159" i="13"/>
  <c r="K160" i="13" s="1"/>
  <c r="E24" i="2"/>
  <c r="L123" i="14"/>
  <c r="L124" i="14" s="1"/>
  <c r="D243" i="3"/>
  <c r="H242" i="3"/>
  <c r="H24" i="1" s="1"/>
  <c r="C870" i="6"/>
  <c r="H787" i="4"/>
  <c r="O338" i="14"/>
  <c r="O339" i="14" s="1"/>
  <c r="H29" i="2"/>
  <c r="O547" i="14"/>
  <c r="O548" i="14" s="1"/>
  <c r="H26" i="2"/>
  <c r="C245" i="3"/>
  <c r="H786" i="4"/>
  <c r="O331" i="14"/>
  <c r="O332" i="14" s="1"/>
  <c r="H28" i="2"/>
  <c r="E51" i="14"/>
  <c r="H801" i="4"/>
  <c r="F20" i="2"/>
  <c r="J182" i="13"/>
  <c r="L144" i="13"/>
  <c r="L71" i="13"/>
  <c r="L72" i="13" s="1"/>
  <c r="E242" i="3"/>
  <c r="E24" i="1" s="1"/>
  <c r="C54" i="10"/>
  <c r="G285" i="14"/>
  <c r="J107" i="14"/>
  <c r="J108" i="14" s="1"/>
  <c r="F51" i="14"/>
  <c r="F10" i="14"/>
  <c r="H775" i="4"/>
  <c r="H17" i="2"/>
  <c r="O130" i="14"/>
  <c r="O131" i="14" s="1"/>
  <c r="C798" i="4"/>
  <c r="J499" i="14"/>
  <c r="J500" i="14" s="1"/>
  <c r="C40" i="2"/>
  <c r="H780" i="4"/>
  <c r="O188" i="14"/>
  <c r="O189" i="14" s="1"/>
  <c r="H22" i="2"/>
  <c r="C780" i="4"/>
  <c r="J188" i="14"/>
  <c r="J189" i="14" s="1"/>
  <c r="C22" i="2"/>
  <c r="L152" i="13"/>
  <c r="D227" i="7"/>
  <c r="L362" i="14"/>
  <c r="L363" i="14" s="1"/>
  <c r="H771" i="4"/>
  <c r="H13" i="2"/>
  <c r="O87" i="14"/>
  <c r="O88" i="14" s="1"/>
  <c r="H765" i="4"/>
  <c r="O10" i="14"/>
  <c r="O11" i="14" s="1"/>
  <c r="H7" i="2"/>
  <c r="G321" i="14"/>
  <c r="H767" i="4"/>
  <c r="H9" i="2"/>
  <c r="O25" i="14"/>
  <c r="O26" i="14" s="1"/>
  <c r="H779" i="4"/>
  <c r="O181" i="14"/>
  <c r="O182" i="14" s="1"/>
  <c r="H21" i="2"/>
  <c r="H15" i="2"/>
  <c r="C772" i="4"/>
  <c r="C14" i="2"/>
  <c r="J94" i="14"/>
  <c r="J95" i="14" s="1"/>
  <c r="C790" i="4"/>
  <c r="J395" i="14"/>
  <c r="J396" i="14" s="1"/>
  <c r="C32" i="2"/>
  <c r="H27" i="2"/>
  <c r="C8" i="2"/>
  <c r="J17" i="14"/>
  <c r="J18" i="14" s="1"/>
  <c r="H785" i="4"/>
  <c r="D53" i="16"/>
  <c r="H797" i="4"/>
  <c r="O492" i="14"/>
  <c r="H39" i="2"/>
  <c r="M331" i="14"/>
  <c r="M332" i="14" s="1"/>
  <c r="F28" i="2"/>
  <c r="H776" i="4"/>
  <c r="H18" i="2"/>
  <c r="O141" i="14"/>
  <c r="O142" i="14" s="1"/>
  <c r="C784" i="4"/>
  <c r="J285" i="14"/>
  <c r="J286" i="14" s="1"/>
  <c r="C26" i="2"/>
  <c r="C785" i="4"/>
  <c r="J321" i="14"/>
  <c r="J322" i="14" s="1"/>
  <c r="C27" i="2"/>
  <c r="F30" i="2"/>
  <c r="M362" i="14"/>
  <c r="M363" i="14" s="1"/>
  <c r="H778" i="4"/>
  <c r="H20" i="2"/>
  <c r="O167" i="14"/>
  <c r="O168" i="14" s="1"/>
  <c r="H768" i="4"/>
  <c r="O51" i="14"/>
  <c r="O52" i="14" s="1"/>
  <c r="H10" i="2"/>
  <c r="C10" i="2"/>
  <c r="J51" i="14"/>
  <c r="H16" i="2"/>
  <c r="O123" i="14"/>
  <c r="O124" i="14" s="1"/>
  <c r="H766" i="4"/>
  <c r="O17" i="14"/>
  <c r="O18" i="14" s="1"/>
  <c r="H770" i="4"/>
  <c r="O80" i="14"/>
  <c r="O81" i="14" s="1"/>
  <c r="H12" i="2"/>
  <c r="N362" i="14"/>
  <c r="N363" i="14" s="1"/>
  <c r="G30" i="2"/>
  <c r="H769" i="4"/>
  <c r="O64" i="14"/>
  <c r="O65" i="14" s="1"/>
  <c r="H11" i="2"/>
  <c r="F221" i="7"/>
  <c r="F217" i="7"/>
  <c r="C38" i="11"/>
  <c r="E38" i="11" s="1"/>
  <c r="C220" i="7"/>
  <c r="D242" i="3"/>
  <c r="D24" i="1" s="1"/>
  <c r="F220" i="7"/>
  <c r="G215" i="7"/>
  <c r="J215" i="7" s="1"/>
  <c r="K215" i="7" s="1"/>
  <c r="H144" i="13"/>
  <c r="H233" i="13" s="1"/>
  <c r="H215" i="7"/>
  <c r="F215" i="7"/>
  <c r="N144" i="13"/>
  <c r="K144" i="13"/>
  <c r="C30" i="11"/>
  <c r="E30" i="11" s="1"/>
  <c r="C215" i="7"/>
  <c r="C136" i="13"/>
  <c r="D144" i="13"/>
  <c r="D233" i="13" s="1"/>
  <c r="D215" i="7"/>
  <c r="E215" i="7"/>
  <c r="K24" i="13"/>
  <c r="C16" i="11"/>
  <c r="C133" i="13"/>
  <c r="C206" i="7"/>
  <c r="G206" i="7"/>
  <c r="J206" i="7" s="1"/>
  <c r="K206" i="7" s="1"/>
  <c r="F206" i="7"/>
  <c r="F214" i="7"/>
  <c r="C27" i="11"/>
  <c r="E27" i="11" s="1"/>
  <c r="C214" i="7"/>
  <c r="F212" i="7"/>
  <c r="I302" i="8"/>
  <c r="G211" i="7"/>
  <c r="J211" i="7" s="1"/>
  <c r="K211" i="7" s="1"/>
  <c r="O61" i="13"/>
  <c r="O62" i="13" s="1"/>
  <c r="F211" i="7"/>
  <c r="C23" i="11"/>
  <c r="C211" i="7"/>
  <c r="C21" i="11"/>
  <c r="E21" i="11" s="1"/>
  <c r="C209" i="7"/>
  <c r="E243" i="13"/>
  <c r="H186" i="13"/>
  <c r="H188" i="13" s="1"/>
  <c r="H238" i="13" s="1"/>
  <c r="H208" i="7"/>
  <c r="E186" i="13"/>
  <c r="E188" i="13" s="1"/>
  <c r="E238" i="13" s="1"/>
  <c r="E208" i="7"/>
  <c r="G204" i="13"/>
  <c r="G206" i="13" s="1"/>
  <c r="G208" i="7"/>
  <c r="J208" i="7" s="1"/>
  <c r="K208" i="7" s="1"/>
  <c r="C186" i="13"/>
  <c r="C188" i="13" s="1"/>
  <c r="C238" i="13" s="1"/>
  <c r="C77" i="7"/>
  <c r="D186" i="13"/>
  <c r="D188" i="13" s="1"/>
  <c r="D238" i="13" s="1"/>
  <c r="D208" i="7"/>
  <c r="E252" i="3"/>
  <c r="J174" i="13"/>
  <c r="F205" i="7"/>
  <c r="N174" i="13"/>
  <c r="C60" i="12"/>
  <c r="D243" i="13"/>
  <c r="H239" i="3"/>
  <c r="E236" i="3"/>
  <c r="L100" i="13"/>
  <c r="L101" i="13" s="1"/>
  <c r="C14" i="11"/>
  <c r="E14" i="11" s="1"/>
  <c r="C204" i="7"/>
  <c r="D877" i="6"/>
  <c r="O117" i="13"/>
  <c r="O118" i="13" s="1"/>
  <c r="H224" i="13"/>
  <c r="C12" i="11"/>
  <c r="C203" i="7"/>
  <c r="F203" i="7"/>
  <c r="F228" i="13"/>
  <c r="M93" i="13"/>
  <c r="F202" i="7"/>
  <c r="D228" i="13"/>
  <c r="K93" i="13"/>
  <c r="J93" i="13"/>
  <c r="C228" i="13"/>
  <c r="H228" i="13"/>
  <c r="O93" i="13"/>
  <c r="N93" i="13"/>
  <c r="G228" i="13"/>
  <c r="C223" i="13"/>
  <c r="E32" i="12"/>
  <c r="G223" i="13"/>
  <c r="C14" i="12"/>
  <c r="E8" i="12"/>
  <c r="D239" i="3"/>
  <c r="M18" i="13"/>
  <c r="C4" i="16"/>
  <c r="C14" i="10"/>
  <c r="H794" i="4"/>
  <c r="O456" i="14"/>
  <c r="O457" i="14" s="1"/>
  <c r="H36" i="2"/>
  <c r="C789" i="4"/>
  <c r="J379" i="14"/>
  <c r="C31" i="2"/>
  <c r="H783" i="4"/>
  <c r="O260" i="14"/>
  <c r="O261" i="14" s="1"/>
  <c r="H25" i="2"/>
  <c r="I500" i="8"/>
  <c r="I317" i="8"/>
  <c r="I58" i="8"/>
  <c r="I401" i="8"/>
  <c r="I219" i="8"/>
  <c r="I145" i="8"/>
  <c r="E778" i="4"/>
  <c r="L167" i="14"/>
  <c r="L168" i="14" s="1"/>
  <c r="E20" i="2"/>
  <c r="M456" i="14"/>
  <c r="M457" i="14" s="1"/>
  <c r="F36" i="2"/>
  <c r="M285" i="14"/>
  <c r="F26" i="2"/>
  <c r="N167" i="14"/>
  <c r="G20" i="2"/>
  <c r="O412" i="14"/>
  <c r="O413" i="14" s="1"/>
  <c r="H791" i="4"/>
  <c r="H33" i="2"/>
  <c r="C786" i="4"/>
  <c r="J331" i="14"/>
  <c r="J332" i="14" s="1"/>
  <c r="C28" i="2"/>
  <c r="K362" i="14"/>
  <c r="K363" i="14" s="1"/>
  <c r="D788" i="4"/>
  <c r="D30" i="2"/>
  <c r="C779" i="4"/>
  <c r="J181" i="14"/>
  <c r="J182" i="14" s="1"/>
  <c r="C21" i="2"/>
  <c r="C797" i="4"/>
  <c r="J492" i="14"/>
  <c r="J493" i="14" s="1"/>
  <c r="C39" i="2"/>
  <c r="H781" i="4"/>
  <c r="O227" i="14"/>
  <c r="H23" i="2"/>
  <c r="J529" i="14"/>
  <c r="J530" i="14" s="1"/>
  <c r="C800" i="4"/>
  <c r="C42" i="2"/>
  <c r="C778" i="4"/>
  <c r="J167" i="14"/>
  <c r="C20" i="2"/>
  <c r="I336" i="8"/>
  <c r="I230" i="8"/>
  <c r="I105" i="8"/>
  <c r="I200" i="8"/>
  <c r="I42" i="8"/>
  <c r="I509" i="8"/>
  <c r="I489" i="8"/>
  <c r="I89" i="8"/>
  <c r="N412" i="14"/>
  <c r="N413" i="14" s="1"/>
  <c r="G33" i="2"/>
  <c r="E779" i="4"/>
  <c r="L181" i="14"/>
  <c r="L182" i="14" s="1"/>
  <c r="E21" i="2"/>
  <c r="F38" i="2"/>
  <c r="N181" i="14"/>
  <c r="N182" i="14" s="1"/>
  <c r="G21" i="2"/>
  <c r="N529" i="14"/>
  <c r="N530" i="14" s="1"/>
  <c r="G42" i="2"/>
  <c r="E791" i="4"/>
  <c r="L412" i="14"/>
  <c r="L413" i="14" s="1"/>
  <c r="E33" i="2"/>
  <c r="N227" i="14"/>
  <c r="G23" i="2"/>
  <c r="D285" i="14"/>
  <c r="C788" i="4"/>
  <c r="J362" i="14"/>
  <c r="J363" i="14" s="1"/>
  <c r="C30" i="2"/>
  <c r="M123" i="14"/>
  <c r="M124" i="14" s="1"/>
  <c r="F16" i="2"/>
  <c r="C765" i="4"/>
  <c r="J10" i="14"/>
  <c r="J11" i="14" s="1"/>
  <c r="C7" i="2"/>
  <c r="I461" i="8"/>
  <c r="H782" i="4"/>
  <c r="O249" i="14"/>
  <c r="O250" i="14" s="1"/>
  <c r="H24" i="2"/>
  <c r="C782" i="4"/>
  <c r="J249" i="14"/>
  <c r="J250" i="14" s="1"/>
  <c r="C24" i="2"/>
  <c r="J456" i="14"/>
  <c r="J457" i="14" s="1"/>
  <c r="C794" i="4"/>
  <c r="C36" i="2"/>
  <c r="H799" i="4"/>
  <c r="O520" i="14"/>
  <c r="O521" i="14" s="1"/>
  <c r="H41" i="2"/>
  <c r="C783" i="4"/>
  <c r="J260" i="14"/>
  <c r="J261" i="14" s="1"/>
  <c r="C25" i="2"/>
  <c r="H790" i="4"/>
  <c r="O395" i="14"/>
  <c r="O396" i="14" s="1"/>
  <c r="H32" i="2"/>
  <c r="C776" i="4"/>
  <c r="J141" i="14"/>
  <c r="J142" i="14" s="1"/>
  <c r="C18" i="2"/>
  <c r="I547" i="8"/>
  <c r="I352" i="8"/>
  <c r="I255" i="8"/>
  <c r="N492" i="14"/>
  <c r="G39" i="2"/>
  <c r="C791" i="4"/>
  <c r="J412" i="14"/>
  <c r="J413" i="14" s="1"/>
  <c r="C33" i="2"/>
  <c r="H788" i="4"/>
  <c r="O362" i="14"/>
  <c r="O363" i="14" s="1"/>
  <c r="H30" i="2"/>
  <c r="J123" i="14"/>
  <c r="J124" i="14" s="1"/>
  <c r="C774" i="4"/>
  <c r="C16" i="2"/>
  <c r="H789" i="4"/>
  <c r="O379" i="14"/>
  <c r="H31" i="2"/>
  <c r="J25" i="14"/>
  <c r="J26" i="14" s="1"/>
  <c r="C9" i="2"/>
  <c r="K123" i="14"/>
  <c r="K124" i="14" s="1"/>
  <c r="D16" i="2"/>
  <c r="I188" i="8"/>
  <c r="I387" i="8"/>
  <c r="I371" i="8"/>
  <c r="I130" i="8"/>
  <c r="I245" i="8"/>
  <c r="D785" i="4"/>
  <c r="K321" i="14"/>
  <c r="K322" i="14" s="1"/>
  <c r="D27" i="2"/>
  <c r="E785" i="4"/>
  <c r="L321" i="14"/>
  <c r="L322" i="14" s="1"/>
  <c r="E27" i="2"/>
  <c r="M10" i="14"/>
  <c r="F7" i="2"/>
  <c r="J591" i="14"/>
  <c r="G44" i="2"/>
  <c r="M434" i="14"/>
  <c r="M435" i="14" s="1"/>
  <c r="F35" i="2"/>
  <c r="F285" i="14"/>
  <c r="E285" i="14"/>
  <c r="O52" i="13" l="1"/>
  <c r="N52" i="13"/>
  <c r="K52" i="13"/>
  <c r="M189" i="13"/>
  <c r="L52" i="13"/>
  <c r="M52" i="13"/>
  <c r="E50" i="12"/>
  <c r="J592" i="14"/>
  <c r="J232" i="3"/>
  <c r="N380" i="14"/>
  <c r="H227" i="7"/>
  <c r="H252" i="3"/>
  <c r="M380" i="14"/>
  <c r="K380" i="14"/>
  <c r="F222" i="13"/>
  <c r="O153" i="13"/>
  <c r="O493" i="14"/>
  <c r="E144" i="13"/>
  <c r="E233" i="13" s="1"/>
  <c r="M62" i="13"/>
  <c r="J52" i="14"/>
  <c r="G32" i="1"/>
  <c r="N250" i="14"/>
  <c r="E32" i="1"/>
  <c r="C208" i="7"/>
  <c r="C19" i="11"/>
  <c r="E19" i="11" s="1"/>
  <c r="H32" i="1"/>
  <c r="D32" i="1"/>
  <c r="D41" i="11"/>
  <c r="L493" i="14"/>
  <c r="G804" i="4"/>
  <c r="G873" i="6" s="1"/>
  <c r="G874" i="6" s="1"/>
  <c r="H804" i="4"/>
  <c r="D804" i="4"/>
  <c r="D679" i="14" s="1"/>
  <c r="L62" i="13"/>
  <c r="L380" i="14"/>
  <c r="O228" i="14"/>
  <c r="G250" i="3"/>
  <c r="G274" i="5" s="1"/>
  <c r="G277" i="5" s="1"/>
  <c r="H250" i="3"/>
  <c r="O241" i="13" s="1"/>
  <c r="E250" i="3"/>
  <c r="E254" i="3" s="1"/>
  <c r="D250" i="3"/>
  <c r="K241" i="13" s="1"/>
  <c r="M250" i="14"/>
  <c r="M153" i="13"/>
  <c r="N493" i="14"/>
  <c r="E23" i="2"/>
  <c r="E46" i="2" s="1"/>
  <c r="E653" i="14"/>
  <c r="E676" i="14" s="1"/>
  <c r="O286" i="14"/>
  <c r="H877" i="6"/>
  <c r="H636" i="8"/>
  <c r="K153" i="13"/>
  <c r="L109" i="13"/>
  <c r="N228" i="14"/>
  <c r="N168" i="14"/>
  <c r="L81" i="14"/>
  <c r="L250" i="14"/>
  <c r="L153" i="13"/>
  <c r="K250" i="14"/>
  <c r="E605" i="8"/>
  <c r="E634" i="8" s="1"/>
  <c r="E227" i="14"/>
  <c r="N153" i="13"/>
  <c r="D634" i="8"/>
  <c r="D638" i="8" s="1"/>
  <c r="O380" i="14"/>
  <c r="O109" i="13"/>
  <c r="N109" i="13"/>
  <c r="M182" i="14"/>
  <c r="M168" i="14"/>
  <c r="J380" i="14"/>
  <c r="K493" i="14"/>
  <c r="G634" i="8"/>
  <c r="G638" i="8" s="1"/>
  <c r="E40" i="11"/>
  <c r="D676" i="14"/>
  <c r="N52" i="14"/>
  <c r="E781" i="4"/>
  <c r="E804" i="4" s="1"/>
  <c r="L227" i="14"/>
  <c r="M81" i="14"/>
  <c r="F23" i="2"/>
  <c r="F781" i="4"/>
  <c r="D73" i="12"/>
  <c r="E73" i="12"/>
  <c r="E21" i="12"/>
  <c r="L198" i="13"/>
  <c r="D21" i="12"/>
  <c r="M227" i="14"/>
  <c r="M228" i="14" s="1"/>
  <c r="E28" i="12"/>
  <c r="D28" i="12"/>
  <c r="E60" i="12"/>
  <c r="E62" i="12"/>
  <c r="E65" i="12" s="1"/>
  <c r="D65" i="12"/>
  <c r="E48" i="12"/>
  <c r="D54" i="12"/>
  <c r="D38" i="12"/>
  <c r="D60" i="12"/>
  <c r="E42" i="12"/>
  <c r="E46" i="12" s="1"/>
  <c r="D46" i="12"/>
  <c r="E38" i="12"/>
  <c r="D14" i="12"/>
  <c r="E877" i="6"/>
  <c r="C634" i="8"/>
  <c r="N198" i="13"/>
  <c r="O198" i="13"/>
  <c r="C217" i="7"/>
  <c r="M109" i="13"/>
  <c r="M72" i="13"/>
  <c r="I440" i="8"/>
  <c r="I421" i="8"/>
  <c r="G144" i="13"/>
  <c r="G233" i="13" s="1"/>
  <c r="E223" i="7"/>
  <c r="F223" i="13"/>
  <c r="E14" i="12"/>
  <c r="I77" i="8"/>
  <c r="I23" i="8"/>
  <c r="E16" i="11"/>
  <c r="I576" i="8"/>
  <c r="E12" i="11"/>
  <c r="I161" i="8"/>
  <c r="J118" i="13"/>
  <c r="E23" i="11"/>
  <c r="C17" i="7"/>
  <c r="J198" i="13"/>
  <c r="K198" i="13"/>
  <c r="M198" i="13"/>
  <c r="D77" i="12"/>
  <c r="C636" i="8"/>
  <c r="J168" i="14"/>
  <c r="E223" i="13"/>
  <c r="N118" i="13"/>
  <c r="M45" i="13"/>
  <c r="L189" i="13"/>
  <c r="O189" i="13"/>
  <c r="D75" i="10"/>
  <c r="M11" i="14"/>
  <c r="L52" i="14"/>
  <c r="M52" i="14"/>
  <c r="C77" i="12"/>
  <c r="H223" i="7"/>
  <c r="G223" i="7"/>
  <c r="J223" i="7" s="1"/>
  <c r="K223" i="7" s="1"/>
  <c r="N286" i="14"/>
  <c r="D77" i="10"/>
  <c r="G676" i="14"/>
  <c r="D241" i="13"/>
  <c r="G243" i="13"/>
  <c r="G227" i="7"/>
  <c r="N322" i="14"/>
  <c r="C676" i="14"/>
  <c r="D43" i="11" s="1"/>
  <c r="E77" i="12"/>
  <c r="G877" i="6"/>
  <c r="G879" i="6" s="1"/>
  <c r="D46" i="2"/>
  <c r="G46" i="2"/>
  <c r="K145" i="13"/>
  <c r="O145" i="13"/>
  <c r="D223" i="7"/>
  <c r="K189" i="13"/>
  <c r="J189" i="13"/>
  <c r="G240" i="13"/>
  <c r="N207" i="13"/>
  <c r="H241" i="13"/>
  <c r="C75" i="12"/>
  <c r="C46" i="2"/>
  <c r="M286" i="14"/>
  <c r="C804" i="4"/>
  <c r="K286" i="14"/>
  <c r="L286" i="14"/>
  <c r="H46" i="2"/>
  <c r="E54" i="12" l="1"/>
  <c r="E75" i="12" s="1"/>
  <c r="E79" i="12" s="1"/>
  <c r="E241" i="13"/>
  <c r="L145" i="13"/>
  <c r="D683" i="14"/>
  <c r="E681" i="14"/>
  <c r="E638" i="8"/>
  <c r="L228" i="14"/>
  <c r="G247" i="13"/>
  <c r="G226" i="7" s="1"/>
  <c r="D247" i="13"/>
  <c r="D226" i="7" s="1"/>
  <c r="H247" i="13"/>
  <c r="H226" i="7" s="1"/>
  <c r="E247" i="13"/>
  <c r="E226" i="7" s="1"/>
  <c r="K676" i="14"/>
  <c r="L677" i="14" s="1"/>
  <c r="D75" i="12"/>
  <c r="D79" i="12" s="1"/>
  <c r="C681" i="14"/>
  <c r="D78" i="10"/>
  <c r="D80" i="10" s="1"/>
  <c r="C638" i="8"/>
  <c r="N145" i="13"/>
  <c r="G241" i="13"/>
  <c r="D45" i="11"/>
  <c r="C8" i="11"/>
  <c r="C200" i="7"/>
  <c r="D681" i="14"/>
  <c r="N241" i="13"/>
  <c r="G254" i="3"/>
  <c r="G225" i="7"/>
  <c r="G229" i="7" s="1"/>
  <c r="G245" i="13"/>
  <c r="E225" i="7"/>
  <c r="E229" i="7" s="1"/>
  <c r="E245" i="13"/>
  <c r="E274" i="5"/>
  <c r="E277" i="5" s="1"/>
  <c r="L241" i="13"/>
  <c r="D225" i="7"/>
  <c r="D229" i="7" s="1"/>
  <c r="D254" i="3"/>
  <c r="C79" i="12"/>
  <c r="D245" i="13"/>
  <c r="D274" i="5"/>
  <c r="D277" i="5" s="1"/>
  <c r="H274" i="5"/>
  <c r="H277" i="5" s="1"/>
  <c r="H245" i="13"/>
  <c r="H225" i="7"/>
  <c r="H229" i="7" s="1"/>
  <c r="K242" i="13"/>
  <c r="H254" i="3"/>
  <c r="G681" i="14"/>
  <c r="J676" i="14"/>
  <c r="K677" i="14" s="1"/>
  <c r="D873" i="6"/>
  <c r="D874" i="6" s="1"/>
  <c r="H679" i="14"/>
  <c r="M676" i="14"/>
  <c r="N677" i="14" s="1"/>
  <c r="H873" i="6"/>
  <c r="H874" i="6" s="1"/>
  <c r="N676" i="14"/>
  <c r="G679" i="14"/>
  <c r="O242" i="13"/>
  <c r="C679" i="14"/>
  <c r="C683" i="14" s="1"/>
  <c r="I676" i="14"/>
  <c r="J677" i="14" s="1"/>
  <c r="C873" i="6"/>
  <c r="C874" i="6" s="1"/>
  <c r="L242" i="13" l="1"/>
  <c r="G683" i="14"/>
  <c r="D249" i="13"/>
  <c r="G249" i="13"/>
  <c r="E249" i="13"/>
  <c r="H249" i="13"/>
  <c r="E873" i="6"/>
  <c r="E874" i="6" s="1"/>
  <c r="E679" i="14"/>
  <c r="E683" i="14" s="1"/>
  <c r="N242" i="13"/>
  <c r="E8" i="11"/>
  <c r="R405" i="8"/>
  <c r="R407" i="8" s="1"/>
  <c r="R389" i="8" s="1"/>
  <c r="S159" i="8"/>
  <c r="R391" i="8" l="1"/>
  <c r="H298" i="14"/>
  <c r="H161" i="8"/>
  <c r="H609" i="8" s="1"/>
  <c r="H311" i="14" l="1"/>
  <c r="H321" i="14" s="1"/>
  <c r="H400" i="8"/>
  <c r="H623" i="8" s="1"/>
  <c r="H634" i="8" s="1"/>
  <c r="H638" i="8" s="1"/>
  <c r="H681" i="14" l="1"/>
  <c r="O322" i="14"/>
  <c r="H676" i="14"/>
  <c r="H683" i="14" s="1"/>
  <c r="O677" i="14" l="1"/>
  <c r="C112" i="5"/>
  <c r="C255" i="5" s="1"/>
  <c r="C148" i="3"/>
  <c r="C149" i="3" s="1"/>
  <c r="C242" i="3" s="1"/>
  <c r="C24" i="1" s="1"/>
  <c r="C32" i="1" s="1"/>
  <c r="C98" i="7"/>
  <c r="C100" i="7" s="1"/>
  <c r="C143" i="13" l="1"/>
  <c r="C144" i="13" s="1"/>
  <c r="C233" i="13" s="1"/>
  <c r="C241" i="13" s="1"/>
  <c r="C17" i="16"/>
  <c r="C53" i="16" s="1"/>
  <c r="C271" i="5"/>
  <c r="C250" i="3"/>
  <c r="C212" i="7"/>
  <c r="C223" i="7" s="1"/>
  <c r="C247" i="13" s="1"/>
  <c r="C226" i="7" s="1"/>
  <c r="C24" i="11"/>
  <c r="C41" i="11" s="1"/>
  <c r="C24" i="10"/>
  <c r="C28" i="10" s="1"/>
  <c r="C75" i="10" s="1"/>
  <c r="J144" i="13"/>
  <c r="C43" i="11" l="1"/>
  <c r="E43" i="11" s="1"/>
  <c r="C78" i="10"/>
  <c r="C80" i="10" s="1"/>
  <c r="J145" i="13"/>
  <c r="J241" i="13"/>
  <c r="J242" i="13" s="1"/>
  <c r="C225" i="7"/>
  <c r="C229" i="7" s="1"/>
  <c r="C274" i="5"/>
  <c r="C277" i="5" s="1"/>
  <c r="C245" i="13"/>
  <c r="C249" i="13" s="1"/>
  <c r="C877" i="6"/>
  <c r="C252" i="3"/>
  <c r="C254" i="3" s="1"/>
  <c r="C77" i="10"/>
  <c r="C243" i="13"/>
  <c r="C227" i="7"/>
  <c r="E24" i="11"/>
  <c r="E41" i="11" s="1"/>
  <c r="C45" i="11" l="1"/>
  <c r="E45" i="11"/>
  <c r="F233" i="5" l="1"/>
  <c r="F270" i="5" s="1"/>
  <c r="F170" i="3"/>
  <c r="F171" i="3" s="1"/>
  <c r="I226" i="5"/>
  <c r="F185" i="7"/>
  <c r="F164" i="13" s="1"/>
  <c r="F165" i="13" s="1"/>
  <c r="F235" i="13" s="1"/>
  <c r="F189" i="7"/>
  <c r="F142" i="13" s="1"/>
  <c r="I230" i="5"/>
  <c r="F147" i="3"/>
  <c r="F184" i="7"/>
  <c r="I225" i="5"/>
  <c r="F101" i="3"/>
  <c r="F102" i="3" s="1"/>
  <c r="F236" i="3" l="1"/>
  <c r="F12" i="1"/>
  <c r="F192" i="7"/>
  <c r="F222" i="7" s="1"/>
  <c r="F244" i="3"/>
  <c r="F26" i="1"/>
  <c r="M165" i="13"/>
  <c r="M166" i="13" s="1"/>
  <c r="M100" i="13"/>
  <c r="F99" i="13"/>
  <c r="F100" i="13" s="1"/>
  <c r="M101" i="13" l="1"/>
  <c r="F227" i="13"/>
  <c r="F580" i="8" l="1"/>
  <c r="F546" i="14" s="1"/>
  <c r="F547" i="14" s="1"/>
  <c r="F639" i="4"/>
  <c r="F636" i="6"/>
  <c r="F576" i="8"/>
  <c r="I631" i="6"/>
  <c r="F382" i="4"/>
  <c r="K382" i="4" s="1"/>
  <c r="I633" i="6"/>
  <c r="P579" i="8"/>
  <c r="P581" i="8" s="1"/>
  <c r="F643" i="4" l="1"/>
  <c r="K643" i="4" s="1"/>
  <c r="K639" i="4"/>
  <c r="J580" i="8"/>
  <c r="F593" i="8"/>
  <c r="F633" i="8" s="1"/>
  <c r="F673" i="14"/>
  <c r="F801" i="4"/>
  <c r="M547" i="14"/>
  <c r="M548" i="14" s="1"/>
  <c r="F43" i="2"/>
  <c r="F320" i="14"/>
  <c r="J576" i="8"/>
  <c r="F859" i="6"/>
  <c r="F95" i="8" l="1"/>
  <c r="F479" i="14" s="1"/>
  <c r="F492" i="14" s="1"/>
  <c r="F94" i="8"/>
  <c r="F295" i="14" s="1"/>
  <c r="F606" i="4"/>
  <c r="I645" i="6"/>
  <c r="F99" i="8"/>
  <c r="F506" i="14" s="1"/>
  <c r="F520" i="14" s="1"/>
  <c r="F651" i="6"/>
  <c r="F860" i="6" s="1"/>
  <c r="I641" i="6"/>
  <c r="F381" i="4"/>
  <c r="K381" i="4" s="1"/>
  <c r="F96" i="4"/>
  <c r="I642" i="6"/>
  <c r="F579" i="4"/>
  <c r="I643" i="6"/>
  <c r="F96" i="8"/>
  <c r="F86" i="14" s="1"/>
  <c r="F87" i="14" s="1"/>
  <c r="F581" i="4" l="1"/>
  <c r="K581" i="4" s="1"/>
  <c r="K579" i="4"/>
  <c r="F613" i="4"/>
  <c r="K606" i="4"/>
  <c r="F41" i="2"/>
  <c r="K613" i="4"/>
  <c r="F97" i="4"/>
  <c r="K97" i="4" s="1"/>
  <c r="K96" i="4"/>
  <c r="J95" i="8"/>
  <c r="J94" i="8"/>
  <c r="G13" i="16"/>
  <c r="J96" i="8"/>
  <c r="F105" i="8"/>
  <c r="F606" i="8" s="1"/>
  <c r="J99" i="8"/>
  <c r="M492" i="14"/>
  <c r="M493" i="14" s="1"/>
  <c r="F797" i="4"/>
  <c r="F39" i="2"/>
  <c r="F669" i="14"/>
  <c r="F671" i="14"/>
  <c r="F799" i="4"/>
  <c r="M520" i="14"/>
  <c r="M521" i="14" s="1"/>
  <c r="P404" i="8"/>
  <c r="P407" i="8" s="1"/>
  <c r="P389" i="8" s="1"/>
  <c r="P391" i="8" s="1"/>
  <c r="P386" i="8"/>
  <c r="P384" i="8" s="1"/>
  <c r="F394" i="8"/>
  <c r="J394" i="8" s="1"/>
  <c r="F472" i="6"/>
  <c r="G28" i="16" s="1"/>
  <c r="F371" i="4"/>
  <c r="F390" i="4" l="1"/>
  <c r="K371" i="4"/>
  <c r="F27" i="2"/>
  <c r="K390" i="4"/>
  <c r="M87" i="14"/>
  <c r="M88" i="14" s="1"/>
  <c r="F643" i="14"/>
  <c r="F771" i="4"/>
  <c r="F13" i="2"/>
  <c r="G53" i="16"/>
  <c r="F400" i="8"/>
  <c r="F623" i="8" s="1"/>
  <c r="F634" i="8" s="1"/>
  <c r="F681" i="14" s="1"/>
  <c r="M321" i="14"/>
  <c r="F657" i="14"/>
  <c r="F676" i="14" s="1"/>
  <c r="F785" i="4"/>
  <c r="F849" i="6"/>
  <c r="F311" i="14"/>
  <c r="F321" i="14" s="1"/>
  <c r="F46" i="2" l="1"/>
  <c r="F804" i="4"/>
  <c r="L676" i="14" s="1"/>
  <c r="M677" i="14" s="1"/>
  <c r="M322" i="14"/>
  <c r="F870" i="6"/>
  <c r="F873" i="6" l="1"/>
  <c r="F874" i="6" s="1"/>
  <c r="F679" i="14"/>
  <c r="F683" i="14" s="1"/>
  <c r="F636" i="8"/>
  <c r="F638" i="8" s="1"/>
  <c r="F78" i="5" l="1"/>
  <c r="I78" i="5" s="1"/>
  <c r="F70" i="7"/>
  <c r="F71" i="7" s="1"/>
  <c r="F135" i="13" s="1"/>
  <c r="I77" i="5"/>
  <c r="F135" i="3"/>
  <c r="F149" i="3" s="1"/>
  <c r="F250" i="5" l="1"/>
  <c r="F271" i="5" s="1"/>
  <c r="F877" i="6" s="1"/>
  <c r="F144" i="13"/>
  <c r="F233" i="13" s="1"/>
  <c r="F241" i="13" s="1"/>
  <c r="F207" i="7"/>
  <c r="F223" i="7" s="1"/>
  <c r="F247" i="13" s="1"/>
  <c r="F226" i="7" s="1"/>
  <c r="F242" i="3"/>
  <c r="M144" i="13"/>
  <c r="F243" i="13" l="1"/>
  <c r="F227" i="7"/>
  <c r="F252" i="3"/>
  <c r="M145" i="13"/>
  <c r="F24" i="1"/>
  <c r="F32" i="1" s="1"/>
  <c r="F250" i="3"/>
  <c r="M241" i="13" l="1"/>
  <c r="M242" i="13" s="1"/>
  <c r="F245" i="13"/>
  <c r="F249" i="13" s="1"/>
  <c r="F274" i="5"/>
  <c r="F277" i="5" s="1"/>
  <c r="F225" i="7"/>
  <c r="F229" i="7" s="1"/>
  <c r="F254" i="3"/>
</calcChain>
</file>

<file path=xl/sharedStrings.xml><?xml version="1.0" encoding="utf-8"?>
<sst xmlns="http://schemas.openxmlformats.org/spreadsheetml/2006/main" count="7683" uniqueCount="673">
  <si>
    <t>Department of Mines &amp; Geology , Udaipur</t>
  </si>
  <si>
    <t>Mineralwise Summary Report (Major Minerals )</t>
  </si>
  <si>
    <t>S. No.</t>
  </si>
  <si>
    <t>Mineral</t>
  </si>
  <si>
    <t>Leases</t>
  </si>
  <si>
    <t>Area</t>
  </si>
  <si>
    <t>Production</t>
  </si>
  <si>
    <t>Sale Value</t>
  </si>
  <si>
    <t>Revenue</t>
  </si>
  <si>
    <t>Employment</t>
  </si>
  <si>
    <t>( No.)</t>
  </si>
  <si>
    <t>(in Hec.)</t>
  </si>
  <si>
    <t>(Lac`Rs.)</t>
  </si>
  <si>
    <t>(Nos.)</t>
  </si>
  <si>
    <t xml:space="preserve">  Metallic Minerals</t>
  </si>
  <si>
    <t>Cadmium</t>
  </si>
  <si>
    <t>Copper Ore</t>
  </si>
  <si>
    <t>Iron ore</t>
  </si>
  <si>
    <t xml:space="preserve">Lead </t>
  </si>
  <si>
    <t xml:space="preserve">Zinc </t>
  </si>
  <si>
    <t xml:space="preserve">Silver </t>
  </si>
  <si>
    <t>Manganese</t>
  </si>
  <si>
    <t xml:space="preserve">  Other  Minerals</t>
  </si>
  <si>
    <t>Ball Clay</t>
  </si>
  <si>
    <t>Barytes</t>
  </si>
  <si>
    <t>Calcite</t>
  </si>
  <si>
    <t>China Clay</t>
  </si>
  <si>
    <t>Dolomite</t>
  </si>
  <si>
    <t>Fire Clay</t>
  </si>
  <si>
    <t>Fluorite</t>
  </si>
  <si>
    <t>Garnet (Abr.&amp; Crude)</t>
  </si>
  <si>
    <t>Gypsum</t>
  </si>
  <si>
    <t>Jasper</t>
  </si>
  <si>
    <t>Kyanite</t>
  </si>
  <si>
    <t>Lignite</t>
  </si>
  <si>
    <t>Limestone</t>
  </si>
  <si>
    <t>Magnesite</t>
  </si>
  <si>
    <t xml:space="preserve">Mica  </t>
  </si>
  <si>
    <t>Ochres</t>
  </si>
  <si>
    <t>Phyrophilite</t>
  </si>
  <si>
    <t>Quartz</t>
  </si>
  <si>
    <t>Felspar</t>
  </si>
  <si>
    <t>Rock-Phosphate</t>
  </si>
  <si>
    <t>Selenite</t>
  </si>
  <si>
    <t>Silica Sand</t>
  </si>
  <si>
    <t>Siliceous Earth</t>
  </si>
  <si>
    <t>Soapstone</t>
  </si>
  <si>
    <t>Vermiculite</t>
  </si>
  <si>
    <t>Wollastonite</t>
  </si>
  <si>
    <t>Misc. Income</t>
  </si>
  <si>
    <t>Total</t>
  </si>
  <si>
    <t>Mineralwise Summary Report (Minor Minerals)</t>
  </si>
  <si>
    <t>(in Hectors)</t>
  </si>
  <si>
    <t>Bentonite</t>
  </si>
  <si>
    <t>Brick Earth</t>
  </si>
  <si>
    <t>Chert</t>
  </si>
  <si>
    <t>Chips Powder/Limestone</t>
  </si>
  <si>
    <t>Fuller's Earth/Kharia Mitti</t>
  </si>
  <si>
    <t>Granite</t>
  </si>
  <si>
    <t>Kankar-Bajri</t>
  </si>
  <si>
    <t>Limestone (Burning)</t>
  </si>
  <si>
    <t>Limestone (Dimnl.)</t>
  </si>
  <si>
    <t>Marble</t>
  </si>
  <si>
    <t>Masonary Stone</t>
  </si>
  <si>
    <t>Mill Stone</t>
  </si>
  <si>
    <t>Mitti</t>
  </si>
  <si>
    <t xml:space="preserve">Murram/Gravel/Gitti </t>
  </si>
  <si>
    <t>Phylite-shist/Patti Katla</t>
  </si>
  <si>
    <t>Quartzite</t>
  </si>
  <si>
    <t>Rhyolite</t>
  </si>
  <si>
    <t>Salt Petre</t>
  </si>
  <si>
    <t>Sandstone</t>
  </si>
  <si>
    <t>Serpentine</t>
  </si>
  <si>
    <t>Slate Stone</t>
  </si>
  <si>
    <t>Stone Balast</t>
  </si>
  <si>
    <t>Inc. from Govt. Deptt.</t>
  </si>
  <si>
    <t xml:space="preserve">Mineralwise Report (Major Minerals ) </t>
  </si>
  <si>
    <t>Office</t>
  </si>
  <si>
    <t>(in Hector)</t>
  </si>
  <si>
    <t>(Tons)</t>
  </si>
  <si>
    <t>(Rs.)</t>
  </si>
  <si>
    <t>ME Bhilwara</t>
  </si>
  <si>
    <t>ME Rajasmand II</t>
  </si>
  <si>
    <t>ME Udaipur</t>
  </si>
  <si>
    <t>ME Jhunjhunu</t>
  </si>
  <si>
    <t>Iron Ore</t>
  </si>
  <si>
    <t>ME Alwar</t>
  </si>
  <si>
    <t>ME Jaipur</t>
  </si>
  <si>
    <t>AME Kotputli</t>
  </si>
  <si>
    <t>AME Neem Ka Thana</t>
  </si>
  <si>
    <t>ME Rajsamand II</t>
  </si>
  <si>
    <t>ME Sirohi</t>
  </si>
  <si>
    <t>ME Ajmer</t>
  </si>
  <si>
    <t>Silver</t>
  </si>
  <si>
    <t>ME Rajasman II</t>
  </si>
  <si>
    <t>ME Sojat City</t>
  </si>
  <si>
    <t>ME Bikaner</t>
  </si>
  <si>
    <t>ME Jalore</t>
  </si>
  <si>
    <t>ME Rajsamand I</t>
  </si>
  <si>
    <t>AME Salumber</t>
  </si>
  <si>
    <t>ME Sikar</t>
  </si>
  <si>
    <t>AME Barmer</t>
  </si>
  <si>
    <t>ME Bijoliya</t>
  </si>
  <si>
    <t>ME Bundi II</t>
  </si>
  <si>
    <t>ME Chittorgarh</t>
  </si>
  <si>
    <t>AME Gotan</t>
  </si>
  <si>
    <t>ME Karoli</t>
  </si>
  <si>
    <t>ME Nagaur</t>
  </si>
  <si>
    <t>AME Nimbahera</t>
  </si>
  <si>
    <t>AME Sawai Madhpur</t>
  </si>
  <si>
    <t>AME Dausa</t>
  </si>
  <si>
    <t>ME Pratapgarh</t>
  </si>
  <si>
    <t>AME Neem KA Thana</t>
  </si>
  <si>
    <t>ME Bharatpur</t>
  </si>
  <si>
    <t>AME Dungarpur</t>
  </si>
  <si>
    <t>AME Jalore</t>
  </si>
  <si>
    <t>AME Tonk</t>
  </si>
  <si>
    <t>AME Hanumanghar</t>
  </si>
  <si>
    <t>ME Jodhpur</t>
  </si>
  <si>
    <t>ME Kota</t>
  </si>
  <si>
    <t>ME Ramganj Mandi</t>
  </si>
  <si>
    <t>Ochres/ Red Ochre/ Yellow Ochre</t>
  </si>
  <si>
    <t>Pyrophylite</t>
  </si>
  <si>
    <t>ME Amet</t>
  </si>
  <si>
    <t>ME Makrana</t>
  </si>
  <si>
    <t>AME Sawai Madhopur</t>
  </si>
  <si>
    <t>Siliceous earth</t>
  </si>
  <si>
    <t>AME Rishabhdev</t>
  </si>
  <si>
    <t>AME Jhalawar</t>
  </si>
  <si>
    <t>Mineral wise Summary Report (Major Minerals)</t>
  </si>
  <si>
    <t>Garnet(Abr.&amp; Crude)</t>
  </si>
  <si>
    <t xml:space="preserve"> </t>
  </si>
  <si>
    <t>Mineralwise Report (Minor Minerals)</t>
  </si>
  <si>
    <t>Brick earth</t>
  </si>
  <si>
    <t>ME Dholpur</t>
  </si>
  <si>
    <t>ME Jhunujhunu</t>
  </si>
  <si>
    <t>ME Karauli</t>
  </si>
  <si>
    <t>Fuller's Earth/ Chikani mitti/other mitti/kharia mitti</t>
  </si>
  <si>
    <t>ME Aamet</t>
  </si>
  <si>
    <t>ME Sojatcity</t>
  </si>
  <si>
    <t>AME Baran</t>
  </si>
  <si>
    <t>ME Bijolia</t>
  </si>
  <si>
    <t>ME Bundi -II</t>
  </si>
  <si>
    <t>ME Jhunjhnu</t>
  </si>
  <si>
    <t>Limestone (Dimn.)</t>
  </si>
  <si>
    <t>AME Balesar</t>
  </si>
  <si>
    <t>Masanory stone</t>
  </si>
  <si>
    <t>Murram/Gitti /Gravel</t>
  </si>
  <si>
    <t>ME Bundi -I</t>
  </si>
  <si>
    <t>Stone ballast</t>
  </si>
  <si>
    <t>ME Banswara</t>
  </si>
  <si>
    <t>ME Barmer</t>
  </si>
  <si>
    <t>ME Bundi - I</t>
  </si>
  <si>
    <t>ME Dungarpur</t>
  </si>
  <si>
    <t>ME Jaisalmer</t>
  </si>
  <si>
    <t>ME Sriganganagar</t>
  </si>
  <si>
    <t>Mineralwise Report (Minor Minerals )</t>
  </si>
  <si>
    <t>Officewise Report (Major Minerals)</t>
  </si>
  <si>
    <t>TOTAL</t>
  </si>
  <si>
    <t>Mica</t>
  </si>
  <si>
    <t>Lead-Zinc</t>
  </si>
  <si>
    <t>Garnet</t>
  </si>
  <si>
    <t>Felspar/Quartz</t>
  </si>
  <si>
    <t>Silicious Earth</t>
  </si>
  <si>
    <t>Red Ochre</t>
  </si>
  <si>
    <t>Ochres (Yellow)</t>
  </si>
  <si>
    <t>Limestone(SMS)</t>
  </si>
  <si>
    <t>Silicious earth</t>
  </si>
  <si>
    <t>Falspar-Quartz/Silica</t>
  </si>
  <si>
    <t>Fire Clay, Red Ocher</t>
  </si>
  <si>
    <t>Quartz-Felspar</t>
  </si>
  <si>
    <t>China clay</t>
  </si>
  <si>
    <t>AME Neem ka Thana</t>
  </si>
  <si>
    <t>Lead</t>
  </si>
  <si>
    <t>Zinc</t>
  </si>
  <si>
    <t>ME Shri Ganganagar</t>
  </si>
  <si>
    <t>Ochres(Red Ochre)</t>
  </si>
  <si>
    <t>Officewise Summary Report (Major Minerals)</t>
  </si>
  <si>
    <t>No.</t>
  </si>
  <si>
    <t>Mineral Major</t>
  </si>
  <si>
    <t xml:space="preserve"> Department of Mines &amp; Geology, Udaipur</t>
  </si>
  <si>
    <t xml:space="preserve">Officewise Report (Minor  Minerals) </t>
  </si>
  <si>
    <t>S.No.</t>
  </si>
  <si>
    <t>Phylite- shist</t>
  </si>
  <si>
    <t>Kankar-Bazri</t>
  </si>
  <si>
    <t>Patti Katla/Phylite-Shisht</t>
  </si>
  <si>
    <t>Patti Katla</t>
  </si>
  <si>
    <t>Murram/ Gravel</t>
  </si>
  <si>
    <t>Gravel</t>
  </si>
  <si>
    <t>Masanory Stone</t>
  </si>
  <si>
    <t>Fuller,s Earth</t>
  </si>
  <si>
    <t>ME Beawar</t>
  </si>
  <si>
    <t>Phylite-Shisht</t>
  </si>
  <si>
    <t>Fuller's Earth</t>
  </si>
  <si>
    <t>Murram</t>
  </si>
  <si>
    <t>AME  Dausa</t>
  </si>
  <si>
    <t>Masonary Stone/Patti katla</t>
  </si>
  <si>
    <t>Sand stone</t>
  </si>
  <si>
    <t>Bantonite</t>
  </si>
  <si>
    <t xml:space="preserve"> Mitti</t>
  </si>
  <si>
    <t>Phylite/ Patti Katla</t>
  </si>
  <si>
    <t>Mill stone</t>
  </si>
  <si>
    <t>Kharia Mitti</t>
  </si>
  <si>
    <t>Greval</t>
  </si>
  <si>
    <t>Chips Powder</t>
  </si>
  <si>
    <t>Phylite-Shist</t>
  </si>
  <si>
    <t>Chikani Mitti</t>
  </si>
  <si>
    <t>Limestone(Burning)</t>
  </si>
  <si>
    <t>Limestone(Dimensional)</t>
  </si>
  <si>
    <t>ME Sri Ganganagar</t>
  </si>
  <si>
    <t>Officewise Summary Report (Minor Minerals)</t>
  </si>
  <si>
    <t>ME  Aamet</t>
  </si>
  <si>
    <t>ME  Ajmer</t>
  </si>
  <si>
    <t>ME  Alwar</t>
  </si>
  <si>
    <t>M.E. Beawar</t>
  </si>
  <si>
    <t>ME  Bijoliya</t>
  </si>
  <si>
    <t>ME  Bharatpur</t>
  </si>
  <si>
    <t>ME  Bhilwara</t>
  </si>
  <si>
    <t>ME  Bikaner</t>
  </si>
  <si>
    <t>ME  Bundi I</t>
  </si>
  <si>
    <t>ME  Bundi II</t>
  </si>
  <si>
    <t>ME  Chittorgarh</t>
  </si>
  <si>
    <t>ME  Dholpur</t>
  </si>
  <si>
    <t>ME  Jaipur</t>
  </si>
  <si>
    <t>ME  Jalore</t>
  </si>
  <si>
    <t>ME  Jodhpur</t>
  </si>
  <si>
    <t>ME  Karoli</t>
  </si>
  <si>
    <t>ME  Kota</t>
  </si>
  <si>
    <t>ME  Makarana</t>
  </si>
  <si>
    <t>ME  Nagaur</t>
  </si>
  <si>
    <t>ME  Rajsamand I</t>
  </si>
  <si>
    <t>ME  Rajsamand II</t>
  </si>
  <si>
    <t>ME  Ramganj Mandi</t>
  </si>
  <si>
    <t>ME  Sikar</t>
  </si>
  <si>
    <t>ME  Sirohi</t>
  </si>
  <si>
    <t>ME  Sojat City</t>
  </si>
  <si>
    <t>ME  Udaipur</t>
  </si>
  <si>
    <t>Gr.Total</t>
  </si>
  <si>
    <t>Mineral Minor</t>
  </si>
  <si>
    <t xml:space="preserve">Districtwise Report (Major Minerals) </t>
  </si>
  <si>
    <t>Ajmer</t>
  </si>
  <si>
    <t xml:space="preserve"> Alwar</t>
  </si>
  <si>
    <t>Banswara</t>
  </si>
  <si>
    <t>Barmer</t>
  </si>
  <si>
    <t>Bharatpur</t>
  </si>
  <si>
    <t>Bhilwara</t>
  </si>
  <si>
    <t>Bikaner</t>
  </si>
  <si>
    <t>Bundi</t>
  </si>
  <si>
    <t>Chittorgarh</t>
  </si>
  <si>
    <t>Dausa</t>
  </si>
  <si>
    <t>Dungarpur</t>
  </si>
  <si>
    <t>Hanumangarh</t>
  </si>
  <si>
    <t>Jaipur</t>
  </si>
  <si>
    <t xml:space="preserve">Mica   </t>
  </si>
  <si>
    <t>Jaisalmer</t>
  </si>
  <si>
    <t>Jalore</t>
  </si>
  <si>
    <t>Jhunjhunu</t>
  </si>
  <si>
    <t>Jodhpur</t>
  </si>
  <si>
    <t xml:space="preserve"> Kota</t>
  </si>
  <si>
    <t>Nagaur</t>
  </si>
  <si>
    <t>Pali</t>
  </si>
  <si>
    <t>Pratapgarh</t>
  </si>
  <si>
    <t>Rajsamand</t>
  </si>
  <si>
    <t xml:space="preserve">Sawai Madhopur </t>
  </si>
  <si>
    <t>Sikar</t>
  </si>
  <si>
    <t>Sirohi</t>
  </si>
  <si>
    <t xml:space="preserve">Tonk </t>
  </si>
  <si>
    <t>Udaipur</t>
  </si>
  <si>
    <t>Mines &amp; Geology Department, Udaipur</t>
  </si>
  <si>
    <t>DISTRICTWISE MAJOR MINERAL STATISTICS</t>
  </si>
  <si>
    <t>District</t>
  </si>
  <si>
    <t>Alwar</t>
  </si>
  <si>
    <t>Jaiselmer</t>
  </si>
  <si>
    <t>Karoli</t>
  </si>
  <si>
    <t>Kota</t>
  </si>
  <si>
    <t xml:space="preserve">Rajsamand </t>
  </si>
  <si>
    <t>Sawai Madhopur</t>
  </si>
  <si>
    <t>Shri Ganganagar</t>
  </si>
  <si>
    <t>Tonk</t>
  </si>
  <si>
    <t>Office Major</t>
  </si>
  <si>
    <t xml:space="preserve">Districtwise Report (Minor Minerals) </t>
  </si>
  <si>
    <t xml:space="preserve"> Barmer</t>
  </si>
  <si>
    <t>Baran</t>
  </si>
  <si>
    <t xml:space="preserve">Bundi </t>
  </si>
  <si>
    <t>Churu</t>
  </si>
  <si>
    <t>Dholpur</t>
  </si>
  <si>
    <t>Jhalawar</t>
  </si>
  <si>
    <t xml:space="preserve"> Jodhpur</t>
  </si>
  <si>
    <t>Karauli</t>
  </si>
  <si>
    <t>Sriganganagar</t>
  </si>
  <si>
    <t>DISTRICTWISE MINOR MINERAL STATISTICS</t>
  </si>
  <si>
    <t>Office Minor</t>
  </si>
  <si>
    <t>Ø-la-</t>
  </si>
  <si>
    <t xml:space="preserve">[kfut fj;k;rksa dk izdkj </t>
  </si>
  <si>
    <r>
      <t xml:space="preserve">vuqlwfpr tkfr     </t>
    </r>
    <r>
      <rPr>
        <b/>
        <sz val="16"/>
        <color indexed="8"/>
        <rFont val="Times New Roman"/>
        <family val="1"/>
      </rPr>
      <t>( S.C. )</t>
    </r>
    <r>
      <rPr>
        <b/>
        <sz val="16"/>
        <color indexed="8"/>
        <rFont val="Kruti Dev 010"/>
      </rPr>
      <t xml:space="preserve">    </t>
    </r>
  </si>
  <si>
    <r>
      <t xml:space="preserve">vuqlwfpr tu tkfr </t>
    </r>
    <r>
      <rPr>
        <b/>
        <sz val="16"/>
        <color indexed="8"/>
        <rFont val="Times New Roman"/>
        <family val="1"/>
      </rPr>
      <t>( S.T. )</t>
    </r>
  </si>
  <si>
    <r>
      <t xml:space="preserve">vU; fiNMk oxZ  </t>
    </r>
    <r>
      <rPr>
        <b/>
        <sz val="16"/>
        <color indexed="8"/>
        <rFont val="Times New Roman"/>
        <family val="1"/>
      </rPr>
      <t xml:space="preserve">(O.B.C) </t>
    </r>
  </si>
  <si>
    <t xml:space="preserve">iz/kku [kfut </t>
  </si>
  <si>
    <t xml:space="preserve">viz/kku [kfut </t>
  </si>
  <si>
    <t>ih- ,y -</t>
  </si>
  <si>
    <t xml:space="preserve">Dokjh ykblsal </t>
  </si>
  <si>
    <t>,l- Vh- ih-</t>
  </si>
  <si>
    <t xml:space="preserve">dqy ;ksx </t>
  </si>
  <si>
    <t>Ø-l-</t>
  </si>
  <si>
    <t>uke dk;kZy; @ o`Rr uke</t>
  </si>
  <si>
    <t>Major Leases</t>
  </si>
  <si>
    <t>Minor Leases</t>
  </si>
  <si>
    <t>Q.L.</t>
  </si>
  <si>
    <t>vtesj o`Rr</t>
  </si>
  <si>
    <t>[k-v- vtesj</t>
  </si>
  <si>
    <t>[k-v- edjkuk</t>
  </si>
  <si>
    <t>[k-v- ukxksj</t>
  </si>
  <si>
    <t>[k-v- C;koj</t>
  </si>
  <si>
    <t>l-[k-v- xksVu</t>
  </si>
  <si>
    <t>l-[k-v- lkoj</t>
  </si>
  <si>
    <t xml:space="preserve"> Hkjriqj o`Rr</t>
  </si>
  <si>
    <t>[k-v- Hkjriqj</t>
  </si>
  <si>
    <t>[k-v- /kkSyiqj</t>
  </si>
  <si>
    <t>[k-v- djksyh</t>
  </si>
  <si>
    <t>l-[k-v- #iokl</t>
  </si>
  <si>
    <t>l-[k-v- lokbZ ek/kksiqj</t>
  </si>
  <si>
    <t>chdkusj o`Rr</t>
  </si>
  <si>
    <t>[k-v- chdkusj</t>
  </si>
  <si>
    <t>[k-v- tSlyesj</t>
  </si>
  <si>
    <t>[k-v- Jhxaxkuxj</t>
  </si>
  <si>
    <t>l-[k-v- pq#</t>
  </si>
  <si>
    <t>l-[k-v- guqekux&lt;+</t>
  </si>
  <si>
    <t>t;iqj o`Rr</t>
  </si>
  <si>
    <t>[k-v- t;iqj</t>
  </si>
  <si>
    <t xml:space="preserve">[k-v- lhdj </t>
  </si>
  <si>
    <t>[k- v- vyoj</t>
  </si>
  <si>
    <t>[k-v- &gt;wa&gt;wuw</t>
  </si>
  <si>
    <t>l-[k-v- nkSlk</t>
  </si>
  <si>
    <t>l-[k-v- uhe dk Fkkuk</t>
  </si>
  <si>
    <t>l-[k-v- dksViqryh</t>
  </si>
  <si>
    <t>l-[k-v- VkSd</t>
  </si>
  <si>
    <t>dksVk o`Rr</t>
  </si>
  <si>
    <t>[k-v- dksVk</t>
  </si>
  <si>
    <t>[k-v- jkexateaMh</t>
  </si>
  <si>
    <t>[k-v- cwUnh  1</t>
  </si>
  <si>
    <t>[k-v- cwUnh  2</t>
  </si>
  <si>
    <t>l-[k-v- &gt;kykokM</t>
  </si>
  <si>
    <t xml:space="preserve">l-[k-v- ckajk </t>
  </si>
  <si>
    <t>tks/kiqj o`Rr</t>
  </si>
  <si>
    <t>[k-v- tks/kiqj</t>
  </si>
  <si>
    <t>[k-v- fljksgh</t>
  </si>
  <si>
    <t>[k-v- ckMesj</t>
  </si>
  <si>
    <t>[k-v- lkstrflaVh</t>
  </si>
  <si>
    <t>[k-v- tkyksj</t>
  </si>
  <si>
    <t>l-[k-v- ckyslj</t>
  </si>
  <si>
    <t>HkhyokMk o`Rr</t>
  </si>
  <si>
    <t>[k-v- HkhyokMk</t>
  </si>
  <si>
    <t>[k-v- fctksfy;k</t>
  </si>
  <si>
    <t>[k-v- fpRrksMx&lt;</t>
  </si>
  <si>
    <t>l-[k-v- fuEckgsMk</t>
  </si>
  <si>
    <t>jktlean o`Rr</t>
  </si>
  <si>
    <t>[k-v- jktlean 1</t>
  </si>
  <si>
    <t>[k-v- jktlean 2</t>
  </si>
  <si>
    <t>[k-v- vkesV</t>
  </si>
  <si>
    <t>mn;iqj o`Rr</t>
  </si>
  <si>
    <t>[k-v- mn;iqj</t>
  </si>
  <si>
    <t>[k-v- izrkix&lt;</t>
  </si>
  <si>
    <t>l-[k-v- _"kHknso</t>
  </si>
  <si>
    <t>l-[k-v- lyqEcj</t>
  </si>
  <si>
    <t>l-[k-v- ckalokMk</t>
  </si>
  <si>
    <t>l-[k-v- Mwaxjiqj</t>
  </si>
  <si>
    <t>Grand Total</t>
  </si>
  <si>
    <t>DISTRICTWISE  MINERAL STATISTICS</t>
  </si>
  <si>
    <t>No. Of Leases</t>
  </si>
  <si>
    <t>Major</t>
  </si>
  <si>
    <t>Minor</t>
  </si>
  <si>
    <t>Major Revenue</t>
  </si>
  <si>
    <t>Minor Revenue</t>
  </si>
  <si>
    <t>Grand  Total</t>
  </si>
  <si>
    <t xml:space="preserve">Office </t>
  </si>
  <si>
    <t>ME Churu</t>
  </si>
  <si>
    <t>AME Sawar</t>
  </si>
  <si>
    <t>AME Churu</t>
  </si>
  <si>
    <t xml:space="preserve">odZ vkMZj </t>
  </si>
  <si>
    <t xml:space="preserve">Mill Stone  </t>
  </si>
  <si>
    <t>(In Hector)</t>
  </si>
  <si>
    <t xml:space="preserve">Lead Zinc </t>
  </si>
  <si>
    <t>Minerals</t>
  </si>
  <si>
    <t>ME Gotan</t>
  </si>
  <si>
    <t xml:space="preserve">Mineralwise Q.L. Report </t>
  </si>
  <si>
    <t>Office Name</t>
  </si>
  <si>
    <t>Q.L</t>
  </si>
  <si>
    <t xml:space="preserve"> Clay</t>
  </si>
  <si>
    <t>ME Makanra</t>
  </si>
  <si>
    <t>AME Roopwas</t>
  </si>
  <si>
    <t>Silica Send</t>
  </si>
  <si>
    <t>Sendstone</t>
  </si>
  <si>
    <t>Bajari</t>
  </si>
  <si>
    <t>Lime Stone</t>
  </si>
  <si>
    <t>White Clay</t>
  </si>
  <si>
    <t>AME Kotputali</t>
  </si>
  <si>
    <t>Bauxite</t>
  </si>
  <si>
    <t xml:space="preserve">Limestone </t>
  </si>
  <si>
    <t>Lead Con.</t>
  </si>
  <si>
    <t>Kaolin</t>
  </si>
  <si>
    <t>ME Naguar</t>
  </si>
  <si>
    <t>Patti Katala</t>
  </si>
  <si>
    <t>Phylite-Shist/Patti Katla</t>
  </si>
  <si>
    <t>ME Pratapghar</t>
  </si>
  <si>
    <t>Red Ocher</t>
  </si>
  <si>
    <t>AME Swai Madhopur</t>
  </si>
  <si>
    <t>ME Chittorghar</t>
  </si>
  <si>
    <t>White Clay/China Clay</t>
  </si>
  <si>
    <t xml:space="preserve">Rajasmand </t>
  </si>
  <si>
    <t xml:space="preserve"> Bikaner</t>
  </si>
  <si>
    <t xml:space="preserve"> Dungarpur</t>
  </si>
  <si>
    <t>Zinc Con.</t>
  </si>
  <si>
    <t>Lead  Con.</t>
  </si>
  <si>
    <t>Dist Major</t>
  </si>
  <si>
    <t>Major Mineral</t>
  </si>
  <si>
    <t>Hanumanghar</t>
  </si>
  <si>
    <t>Jhunujhunu</t>
  </si>
  <si>
    <t xml:space="preserve"> Bundi </t>
  </si>
  <si>
    <t xml:space="preserve"> Hanumanghar</t>
  </si>
  <si>
    <t>Chittorghar</t>
  </si>
  <si>
    <t>Jhunjhnu</t>
  </si>
  <si>
    <t>Sawai Madhpur</t>
  </si>
  <si>
    <t>Nagour</t>
  </si>
  <si>
    <t>Minor Mineral</t>
  </si>
  <si>
    <t>Dist Minor</t>
  </si>
  <si>
    <t>Partapghar</t>
  </si>
  <si>
    <t>Ochres/Red Ochres</t>
  </si>
  <si>
    <t>Kankar-Bajari</t>
  </si>
  <si>
    <t>Shree Ganganagar</t>
  </si>
  <si>
    <t>Red Ochre/Yellow Ocher</t>
  </si>
  <si>
    <t>Phylite- Shist</t>
  </si>
  <si>
    <t>China Clay/ White Clay</t>
  </si>
  <si>
    <t>Naguar</t>
  </si>
  <si>
    <t>(Lac' Rs.)</t>
  </si>
  <si>
    <t>(Crore' Rs.)</t>
  </si>
  <si>
    <t>(Lac' Tons)</t>
  </si>
  <si>
    <t>( Lac' Tons)</t>
  </si>
  <si>
    <t xml:space="preserve">Districtwise Minerals Report (Major Minerals) </t>
  </si>
  <si>
    <t xml:space="preserve">Districtwise Minerals Report (Minor Minerals) </t>
  </si>
  <si>
    <t>Major PL</t>
  </si>
  <si>
    <t>Minor PL</t>
  </si>
  <si>
    <t>[k-v- ukxkSj</t>
  </si>
  <si>
    <t>l-[k-v- :iokl</t>
  </si>
  <si>
    <t>l-[k-v- lokbZ ek?kksiqj</t>
  </si>
  <si>
    <t>l-[k-v- pw:</t>
  </si>
  <si>
    <t>l-[k-v- Vksad</t>
  </si>
  <si>
    <t>l-[k-v- ckajk</t>
  </si>
  <si>
    <t>[k-v- ckalokMk</t>
  </si>
  <si>
    <t>[k-v- Mwaxjiqj</t>
  </si>
  <si>
    <t>ME Sikr</t>
  </si>
  <si>
    <t xml:space="preserve"> WO</t>
  </si>
  <si>
    <t xml:space="preserve">STP </t>
  </si>
  <si>
    <t>Zinc Conce.</t>
  </si>
  <si>
    <t>Lead Conce.</t>
  </si>
  <si>
    <t xml:space="preserve">Ball Clay </t>
  </si>
  <si>
    <t>Quartz/Felspar</t>
  </si>
  <si>
    <t>AME Neem ka thana</t>
  </si>
  <si>
    <t>ME Makarana</t>
  </si>
  <si>
    <t>Miss Income</t>
  </si>
  <si>
    <t>AME Roopvash</t>
  </si>
  <si>
    <t>Limestone (Dimensional)</t>
  </si>
  <si>
    <t xml:space="preserve"> Rajsamand </t>
  </si>
  <si>
    <t>Beryl</t>
  </si>
  <si>
    <t>Emeral Crude</t>
  </si>
  <si>
    <t>Emerald Crude</t>
  </si>
  <si>
    <t>Asbestos</t>
  </si>
  <si>
    <t>Epidote</t>
  </si>
  <si>
    <t>ME Kotputli</t>
  </si>
  <si>
    <t xml:space="preserve">Major Mineral </t>
  </si>
  <si>
    <t>Distt. Minerals</t>
  </si>
  <si>
    <t>Fuller's Earth/ Chikani Mitti/Other Mitti/Kharia Mitti</t>
  </si>
  <si>
    <t>[k-v- vyoj</t>
  </si>
  <si>
    <t>ME Dausa</t>
  </si>
  <si>
    <t>Dasua</t>
  </si>
  <si>
    <t>ME Swai Madhopur</t>
  </si>
  <si>
    <t>Swai Madhopur</t>
  </si>
  <si>
    <t>Rajsmand</t>
  </si>
  <si>
    <t>ME Barmar</t>
  </si>
  <si>
    <t>Dist.</t>
  </si>
  <si>
    <t>Chips Powder (Limestone)</t>
  </si>
  <si>
    <t>Limestone/Masonary Stone</t>
  </si>
  <si>
    <t>Udr</t>
  </si>
  <si>
    <t>Rish</t>
  </si>
  <si>
    <t>Salu</t>
  </si>
  <si>
    <t>salu</t>
  </si>
  <si>
    <t>udr+ris+Salu</t>
  </si>
  <si>
    <t>sandstone</t>
  </si>
  <si>
    <t xml:space="preserve"> Ramgan</t>
  </si>
  <si>
    <t>kota</t>
  </si>
  <si>
    <t>Masonary</t>
  </si>
  <si>
    <t>ram</t>
  </si>
  <si>
    <t>mis</t>
  </si>
  <si>
    <t>ram ji</t>
  </si>
  <si>
    <t>Gov</t>
  </si>
  <si>
    <t>sand stone</t>
  </si>
  <si>
    <t>bun1</t>
  </si>
  <si>
    <t>bun2</t>
  </si>
  <si>
    <t>kata</t>
  </si>
  <si>
    <t>mason</t>
  </si>
  <si>
    <t>kankar</t>
  </si>
  <si>
    <t>gov</t>
  </si>
  <si>
    <t>bundi1+2</t>
  </si>
  <si>
    <t>Miss</t>
  </si>
  <si>
    <t>Chi+Nim</t>
  </si>
  <si>
    <t>STP</t>
  </si>
  <si>
    <t>WO</t>
  </si>
  <si>
    <t>PL</t>
  </si>
  <si>
    <t>Masanory</t>
  </si>
  <si>
    <t>Masonary Sojt</t>
  </si>
  <si>
    <t>Mitti Sojt</t>
  </si>
  <si>
    <t>Masonary Alwar</t>
  </si>
  <si>
    <t>Kotputali Maso</t>
  </si>
  <si>
    <t>Brick Earth Alwar</t>
  </si>
  <si>
    <t>Kotputali Bri</t>
  </si>
  <si>
    <t>Jaipur Masona</t>
  </si>
  <si>
    <t>Kotputali</t>
  </si>
  <si>
    <t>Jaipur Brick Earth</t>
  </si>
  <si>
    <t>Mitti Beawar</t>
  </si>
  <si>
    <t>Granite Sawar+Ajmer</t>
  </si>
  <si>
    <t>Granite Beawar</t>
  </si>
  <si>
    <t>dk;kZy; dk uke</t>
  </si>
  <si>
    <t>vkosnu</t>
  </si>
  <si>
    <t>Lohd`r</t>
  </si>
  <si>
    <t>[kafMr</t>
  </si>
  <si>
    <t>[k-v- &gt;aw&gt;wuw</t>
  </si>
  <si>
    <t xml:space="preserve">l-[k-v- nkSlk </t>
  </si>
  <si>
    <t>c</t>
  </si>
  <si>
    <t>l-[k-v- lkaoj</t>
  </si>
  <si>
    <t>l</t>
  </si>
  <si>
    <t>n</t>
  </si>
  <si>
    <t>;</t>
  </si>
  <si>
    <t>HkhyokM+k o`Rr</t>
  </si>
  <si>
    <t>j</t>
  </si>
  <si>
    <t>y</t>
  </si>
  <si>
    <t>l-[k-v- guqekux&lt;++</t>
  </si>
  <si>
    <t xml:space="preserve"> o</t>
  </si>
  <si>
    <t xml:space="preserve"> 'k</t>
  </si>
  <si>
    <t>[k-v- djkSsyh</t>
  </si>
  <si>
    <t>l-[k-v- lokbZ ek/kkssiqj</t>
  </si>
  <si>
    <t>Á/kku [kfut</t>
  </si>
  <si>
    <t>vÁ/kku [kfut</t>
  </si>
  <si>
    <t>,l-Vh-ih</t>
  </si>
  <si>
    <t>Dokjh ykbZlsUl</t>
  </si>
  <si>
    <t>odZ vkMZj</t>
  </si>
  <si>
    <t>Ikh-,y-</t>
  </si>
  <si>
    <t>Limestone (Dim)</t>
  </si>
  <si>
    <t>ME Rajasmand 2</t>
  </si>
  <si>
    <t>Rajasmand</t>
  </si>
  <si>
    <t>Beawar</t>
  </si>
  <si>
    <t>PALI ME</t>
  </si>
  <si>
    <t>Sawar+Ajmer+Beawar T</t>
  </si>
  <si>
    <t>Felspar Beawar</t>
  </si>
  <si>
    <t>Sawar+Ajmer F</t>
  </si>
  <si>
    <t>Granite Bewar</t>
  </si>
  <si>
    <t>Sojt Granite</t>
  </si>
  <si>
    <t>Masona Beawar</t>
  </si>
  <si>
    <t>Ajmer Beawr</t>
  </si>
  <si>
    <t xml:space="preserve"> Beawar Felspar </t>
  </si>
  <si>
    <t>ME Beawar Felspar</t>
  </si>
  <si>
    <t>Beawr off</t>
  </si>
  <si>
    <t>Mas Kotpu</t>
  </si>
  <si>
    <t>Brick Kotpu</t>
  </si>
  <si>
    <t>Kotputali mis</t>
  </si>
  <si>
    <t>Kotp</t>
  </si>
  <si>
    <t>Jaip</t>
  </si>
  <si>
    <t xml:space="preserve">Govt </t>
  </si>
  <si>
    <t xml:space="preserve">Mis </t>
  </si>
  <si>
    <t>Kotpu</t>
  </si>
  <si>
    <t>Rish sopstone</t>
  </si>
  <si>
    <t>AME Salumbar Sop stone</t>
  </si>
  <si>
    <t>Dungarpur Sopstone</t>
  </si>
  <si>
    <t>Salu se - Dpr +</t>
  </si>
  <si>
    <t>Sopstone</t>
  </si>
  <si>
    <t>UDR Dolomite</t>
  </si>
  <si>
    <t>SALUM Dolom</t>
  </si>
  <si>
    <t>Total Dolomite</t>
  </si>
  <si>
    <t>SALUM Marble</t>
  </si>
  <si>
    <t>UDR MARBLE</t>
  </si>
  <si>
    <t>SLU+UDR MARBLE</t>
  </si>
  <si>
    <t>Marble SLU-UDR</t>
  </si>
  <si>
    <t>AME Salumbar S</t>
  </si>
  <si>
    <t>DPR+ SALM</t>
  </si>
  <si>
    <t>Govt</t>
  </si>
  <si>
    <t>DPR</t>
  </si>
  <si>
    <t>SALUM</t>
  </si>
  <si>
    <t>AME SALU</t>
  </si>
  <si>
    <t>SALU - UDR</t>
  </si>
  <si>
    <t>Barmer Granite</t>
  </si>
  <si>
    <t>Jalor Gra</t>
  </si>
  <si>
    <t xml:space="preserve">BRM Masanory </t>
  </si>
  <si>
    <t>Jalor Mas</t>
  </si>
  <si>
    <t>Bajari Jaore</t>
  </si>
  <si>
    <t>kota Lome DIM</t>
  </si>
  <si>
    <t>Mason. Stone Chit. + Nimba</t>
  </si>
  <si>
    <t>Chitto+ nimba Lomestone Dim.</t>
  </si>
  <si>
    <t>Kota Maso.</t>
  </si>
  <si>
    <t>Bjari Chitt+Nimba</t>
  </si>
  <si>
    <t xml:space="preserve">Kota  </t>
  </si>
  <si>
    <t>Kota offi</t>
  </si>
  <si>
    <t>ME Beawar Graninte</t>
  </si>
  <si>
    <t>Barmer Bajri</t>
  </si>
  <si>
    <t>Patti katla Dungar</t>
  </si>
  <si>
    <t>Patti salumbar</t>
  </si>
  <si>
    <t>Kota + Chitto</t>
  </si>
  <si>
    <t>Off kota</t>
  </si>
  <si>
    <t>miss Bundi</t>
  </si>
  <si>
    <t>Ok"kZ 2019&amp;20</t>
  </si>
  <si>
    <t>[kfut fj;k;rksa dh fLFkfr o"kZ 2019&amp;20</t>
  </si>
  <si>
    <t xml:space="preserve">fnukad 31-3-2020 dks izHkkoh [kfut fj;k;rksa dh la[;k </t>
  </si>
  <si>
    <t>silica sand</t>
  </si>
  <si>
    <t>AME Salumbar</t>
  </si>
  <si>
    <t>ME Rajasmand</t>
  </si>
  <si>
    <t>ME Jalor</t>
  </si>
  <si>
    <t>Jalor</t>
  </si>
  <si>
    <t>Kankar-Bajri (GSB)</t>
  </si>
  <si>
    <t>Bajri</t>
  </si>
  <si>
    <t>ME Rajasmand 1</t>
  </si>
  <si>
    <t xml:space="preserve">o"kZ 2020&amp;21 es fnukad 31-3-2021 dks izHkkoh [kfut fj;k;rksa dk fooj.k  </t>
  </si>
  <si>
    <t xml:space="preserve">Felspar </t>
  </si>
  <si>
    <t>Limestone Cement Grade</t>
  </si>
  <si>
    <t>AME  Gotan</t>
  </si>
  <si>
    <t xml:space="preserve">Lead and Zinc </t>
  </si>
  <si>
    <t>sales /ton</t>
  </si>
  <si>
    <t>Revenue/ton</t>
  </si>
  <si>
    <t>Sales value/ton</t>
  </si>
  <si>
    <t>Sand Stone</t>
  </si>
  <si>
    <t xml:space="preserve">Mitti </t>
  </si>
  <si>
    <t>Ordinary Earth</t>
  </si>
  <si>
    <t>Sojat City</t>
  </si>
  <si>
    <t xml:space="preserve"> yellow Mitti</t>
  </si>
  <si>
    <t>Quartz.Felspar,Mica</t>
  </si>
  <si>
    <t>(Lac'Rs.)</t>
  </si>
  <si>
    <t>(Crore'Rs.)</t>
  </si>
  <si>
    <t>(Lac'Tons)</t>
  </si>
  <si>
    <t>Patti Farsi Khanda Gitti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</si>
  <si>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</si>
  <si>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AME Kothputli</t>
  </si>
  <si>
    <t>ok</t>
  </si>
  <si>
    <t>ME BARMER</t>
  </si>
  <si>
    <t>ME BUNDI</t>
  </si>
  <si>
    <t xml:space="preserve">                                                                                                                                               </t>
  </si>
  <si>
    <r>
      <t xml:space="preserve">C;koj dk </t>
    </r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tkssMk x;k gSA</t>
    </r>
  </si>
  <si>
    <t>Beawer+ Sojat</t>
  </si>
  <si>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 jgk  gSA</t>
    </r>
  </si>
  <si>
    <r>
      <t xml:space="preserve">Dolomite  jaipur </t>
    </r>
    <r>
      <rPr>
        <b/>
        <sz val="12"/>
        <color rgb="FFFF0000"/>
        <rFont val="Kruti Dev 010"/>
      </rPr>
      <t>esa tk jgk gSA</t>
    </r>
  </si>
  <si>
    <r>
      <rPr>
        <b/>
        <sz val="12"/>
        <color rgb="FFFF0000"/>
        <rFont val="Kruti Dev 010"/>
      </rPr>
      <t xml:space="preserve">vyoj dk </t>
    </r>
    <r>
      <rPr>
        <b/>
        <sz val="12"/>
        <color rgb="FFFF0000"/>
        <rFont val="Times New Roman"/>
        <family val="1"/>
      </rPr>
      <t xml:space="preserve">Dolomite  jaipur </t>
    </r>
    <r>
      <rPr>
        <b/>
        <sz val="12"/>
        <color rgb="FFFF0000"/>
        <rFont val="Kruti Dev 010"/>
      </rPr>
      <t>esa tksMk x;k gSA</t>
    </r>
  </si>
  <si>
    <t>Sawar+Ajmer+</t>
  </si>
  <si>
    <t>Jaipur + Kotputli</t>
  </si>
  <si>
    <t>40..8</t>
  </si>
  <si>
    <t xml:space="preserve">Red Ocher, Fire Clay </t>
  </si>
  <si>
    <t>Copper</t>
  </si>
  <si>
    <t>ME SIROHI</t>
  </si>
  <si>
    <t>COPPER ORE</t>
  </si>
  <si>
    <t>SIROHI</t>
  </si>
  <si>
    <t>2021-22</t>
  </si>
  <si>
    <t>tkykSj dk dadj &amp; ctjh  ckMesj esa tksMk x;k gSA</t>
  </si>
  <si>
    <t>Financial Year 2023-24</t>
  </si>
  <si>
    <t>( Tons)</t>
  </si>
  <si>
    <t>Red Orchers</t>
  </si>
  <si>
    <t>Red orchers</t>
  </si>
  <si>
    <t>ME,Pratapgarh</t>
  </si>
  <si>
    <t>MasonaryStone</t>
  </si>
  <si>
    <t>MasonaryStone (Crusher Gitti)</t>
  </si>
  <si>
    <t>Phyllite</t>
  </si>
  <si>
    <t>Marble (Khanda)</t>
  </si>
  <si>
    <t>Serpantine</t>
  </si>
  <si>
    <t>AME,Baran</t>
  </si>
  <si>
    <t>SandStone</t>
  </si>
  <si>
    <t>Sand Stone &amp; Khanda</t>
  </si>
  <si>
    <t>ME Bundi-II</t>
  </si>
  <si>
    <t>Ochres (Red)</t>
  </si>
  <si>
    <t>(INR' Rs.)</t>
  </si>
  <si>
    <t>Ball Clay/China 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</si>
</sst>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00"/>
    <numFmt numFmtId="167" formatCode="0.0"/>
    <numFmt numFmtId="168" formatCode="dddd&quot;, &quot;mmmm\ dd&quot;, &quot;yyyy"/>
    <numFmt numFmtId="169" formatCode="0.00,,\'\'\C\'\'"/>
    <numFmt numFmtId="170" formatCode="_ * #,##0_ ;_ * \-#,##0_ ;_ * \-??_ ;_ @_ "/>
  </numFmts>
  <fonts count="1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22"/>
      <name val="Times New Roman"/>
      <family val="1"/>
    </font>
    <font>
      <b/>
      <sz val="18"/>
      <color indexed="8"/>
      <name val="Calibri"/>
      <family val="2"/>
    </font>
    <font>
      <b/>
      <sz val="2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color indexed="36"/>
      <name val="Times New Roman"/>
      <family val="1"/>
    </font>
    <font>
      <sz val="11"/>
      <name val="Calibri"/>
      <family val="2"/>
      <scheme val="minor"/>
    </font>
    <font>
      <b/>
      <sz val="18"/>
      <name val="Times New Roman"/>
      <family val="1"/>
    </font>
    <font>
      <sz val="16"/>
      <name val="Monotype Corsiva"/>
      <family val="4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8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24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9"/>
      <color indexed="8"/>
      <name val="Kruti Dev 010"/>
    </font>
    <font>
      <b/>
      <sz val="16"/>
      <color indexed="8"/>
      <name val="Kruti Dev 010"/>
    </font>
    <font>
      <b/>
      <sz val="16"/>
      <color indexed="8"/>
      <name val="Times New Roman"/>
      <family val="1"/>
    </font>
    <font>
      <b/>
      <sz val="24"/>
      <color indexed="8"/>
      <name val="Kruti Dev 010"/>
    </font>
    <font>
      <b/>
      <sz val="16"/>
      <color indexed="8"/>
      <name val="Arial"/>
      <family val="2"/>
    </font>
    <font>
      <b/>
      <sz val="24"/>
      <name val="Kruti Dev 010"/>
    </font>
    <font>
      <b/>
      <sz val="24"/>
      <color theme="1"/>
      <name val="Kruti Dev 010"/>
    </font>
    <font>
      <b/>
      <i/>
      <u/>
      <sz val="22"/>
      <color indexed="8"/>
      <name val="Times New Roman"/>
      <family val="1"/>
    </font>
    <font>
      <sz val="18"/>
      <color theme="1"/>
      <name val="Times New Roman"/>
      <family val="1"/>
    </font>
    <font>
      <b/>
      <sz val="20"/>
      <name val="Kruti Dev 010"/>
    </font>
    <font>
      <b/>
      <sz val="18"/>
      <name val="Kruti Dev 010"/>
    </font>
    <font>
      <sz val="18"/>
      <color theme="1"/>
      <name val="Kruti Dev 010"/>
    </font>
    <font>
      <sz val="18"/>
      <name val="Kruti Dev 010"/>
    </font>
    <font>
      <sz val="20"/>
      <color theme="1"/>
      <name val="Kruti Dev 010"/>
    </font>
    <font>
      <sz val="20"/>
      <name val="Kruti Dev 010"/>
    </font>
    <font>
      <b/>
      <sz val="22"/>
      <color theme="1"/>
      <name val="Kruti Dev 010"/>
    </font>
    <font>
      <b/>
      <sz val="22"/>
      <name val="Kruti Dev 010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.5"/>
      <color indexed="8"/>
      <name val="Arial"/>
      <family val="2"/>
    </font>
    <font>
      <b/>
      <sz val="11"/>
      <color indexed="8"/>
      <name val="Arial"/>
      <family val="2"/>
    </font>
    <font>
      <b/>
      <sz val="11.5"/>
      <name val="Times New Roman"/>
      <family val="1"/>
    </font>
    <font>
      <sz val="11.5"/>
      <name val="Times New Roman"/>
      <family val="1"/>
    </font>
    <font>
      <sz val="15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b/>
      <sz val="18"/>
      <name val="Segoe UI Symbol"/>
      <family val="2"/>
    </font>
    <font>
      <b/>
      <sz val="25"/>
      <name val="Times New Roman"/>
      <family val="1"/>
    </font>
    <font>
      <sz val="10"/>
      <color indexed="8"/>
      <name val="Times New Roman"/>
      <family val="1"/>
    </font>
    <font>
      <b/>
      <sz val="25"/>
      <color theme="1"/>
      <name val="Times New Roman"/>
      <family val="1"/>
    </font>
    <font>
      <b/>
      <sz val="18"/>
      <color theme="1"/>
      <name val="Times New Roman"/>
      <family val="1"/>
    </font>
    <font>
      <b/>
      <sz val="26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0.5"/>
      <color theme="1"/>
      <name val="Times New Roman"/>
      <family val="1"/>
    </font>
    <font>
      <b/>
      <sz val="20"/>
      <color indexed="36"/>
      <name val="Times New Roman"/>
      <family val="1"/>
    </font>
    <font>
      <b/>
      <sz val="10.5"/>
      <color theme="1"/>
      <name val="Times New Roman"/>
      <family val="1"/>
    </font>
    <font>
      <sz val="16"/>
      <color indexed="8"/>
      <name val="Kruti Dev 010"/>
    </font>
    <font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Kruti Dev 010"/>
    </font>
    <font>
      <sz val="12"/>
      <name val="Calibri"/>
      <family val="2"/>
      <scheme val="minor"/>
    </font>
    <font>
      <sz val="14"/>
      <name val="Kruti Dev 010"/>
    </font>
    <font>
      <sz val="14"/>
      <color theme="1"/>
      <name val="Kruti Dev 010"/>
    </font>
    <font>
      <sz val="10"/>
      <color rgb="FFFF0000"/>
      <name val="Times New Roman"/>
      <family val="1"/>
    </font>
    <font>
      <sz val="11"/>
      <color theme="1"/>
      <name val="Kruti Dev 010"/>
    </font>
    <font>
      <sz val="16"/>
      <name val="Kruti Dev 010"/>
    </font>
    <font>
      <b/>
      <sz val="16"/>
      <color rgb="FFFF0000"/>
      <name val="Times New Roman"/>
      <family val="1"/>
    </font>
    <font>
      <b/>
      <sz val="16"/>
      <name val="Kruti Dev 010"/>
    </font>
    <font>
      <b/>
      <sz val="14"/>
      <color theme="1"/>
      <name val="Kruti Dev 010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u/>
      <sz val="22"/>
      <color indexed="8"/>
      <name val="Times New Roman"/>
      <family val="1"/>
    </font>
    <font>
      <b/>
      <u/>
      <sz val="20"/>
      <color indexed="8"/>
      <name val="Times New Roman"/>
      <family val="1"/>
    </font>
    <font>
      <b/>
      <sz val="11"/>
      <color rgb="FFFF0000"/>
      <name val="Times New Roman"/>
      <family val="1"/>
    </font>
    <font>
      <sz val="10"/>
      <name val="Arial"/>
      <family val="2"/>
    </font>
    <font>
      <sz val="15"/>
      <name val="Kruti Dev 010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Kruti Dev 010"/>
    </font>
    <font>
      <b/>
      <sz val="12"/>
      <color rgb="FFC0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rgb="FFFF0000"/>
      <name val="Kruti Dev 010"/>
    </font>
    <font>
      <sz val="11"/>
      <color rgb="FF00206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indexed="9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889AC2"/>
        <bgColor indexed="24"/>
      </patternFill>
    </fill>
    <fill>
      <patternFill patternType="solid">
        <fgColor rgb="FF889AC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3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rgb="FF95B3D7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1" fillId="0" borderId="0"/>
  </cellStyleXfs>
  <cellXfs count="1393">
    <xf numFmtId="0" fontId="0" fillId="0" borderId="0" xfId="0"/>
    <xf numFmtId="0" fontId="10" fillId="0" borderId="2" xfId="0" applyFont="1" applyBorder="1"/>
    <xf numFmtId="0" fontId="14" fillId="3" borderId="2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/>
    </xf>
    <xf numFmtId="0" fontId="8" fillId="3" borderId="2" xfId="2" applyFont="1" applyFill="1" applyBorder="1" applyAlignment="1">
      <alignment horizontal="right"/>
    </xf>
    <xf numFmtId="2" fontId="8" fillId="3" borderId="2" xfId="2" applyNumberFormat="1" applyFont="1" applyFill="1" applyBorder="1" applyAlignment="1">
      <alignment horizontal="right"/>
    </xf>
    <xf numFmtId="165" fontId="8" fillId="3" borderId="2" xfId="2" applyNumberFormat="1" applyFont="1" applyFill="1" applyBorder="1" applyAlignment="1">
      <alignment horizontal="right"/>
    </xf>
    <xf numFmtId="1" fontId="8" fillId="3" borderId="2" xfId="2" applyNumberFormat="1" applyFont="1" applyFill="1" applyBorder="1" applyAlignment="1">
      <alignment horizontal="right"/>
    </xf>
    <xf numFmtId="2" fontId="15" fillId="0" borderId="5" xfId="2" applyNumberFormat="1" applyFont="1" applyBorder="1"/>
    <xf numFmtId="0" fontId="14" fillId="0" borderId="5" xfId="2" applyFont="1" applyBorder="1" applyAlignment="1">
      <alignment horizontal="right"/>
    </xf>
    <xf numFmtId="165" fontId="14" fillId="0" borderId="5" xfId="2" applyNumberFormat="1" applyFont="1" applyBorder="1" applyAlignment="1">
      <alignment horizontal="right"/>
    </xf>
    <xf numFmtId="1" fontId="14" fillId="0" borderId="5" xfId="2" applyNumberFormat="1" applyFont="1" applyBorder="1" applyAlignment="1">
      <alignment horizontal="right"/>
    </xf>
    <xf numFmtId="0" fontId="14" fillId="0" borderId="2" xfId="2" applyFont="1" applyBorder="1" applyAlignment="1">
      <alignment vertical="center"/>
    </xf>
    <xf numFmtId="2" fontId="15" fillId="0" borderId="2" xfId="2" applyNumberFormat="1" applyFont="1" applyBorder="1"/>
    <xf numFmtId="0" fontId="17" fillId="0" borderId="2" xfId="2" applyFont="1" applyBorder="1"/>
    <xf numFmtId="0" fontId="18" fillId="0" borderId="2" xfId="2" applyFont="1" applyBorder="1"/>
    <xf numFmtId="0" fontId="17" fillId="0" borderId="2" xfId="2" applyFont="1" applyBorder="1" applyAlignment="1">
      <alignment vertical="center" wrapText="1"/>
    </xf>
    <xf numFmtId="167" fontId="8" fillId="3" borderId="2" xfId="2" applyNumberFormat="1" applyFont="1" applyFill="1" applyBorder="1" applyAlignment="1">
      <alignment horizontal="right"/>
    </xf>
    <xf numFmtId="0" fontId="17" fillId="0" borderId="0" xfId="0" applyFont="1"/>
    <xf numFmtId="0" fontId="15" fillId="0" borderId="2" xfId="2" applyFont="1" applyBorder="1" applyAlignment="1">
      <alignment horizontal="left" vertical="center"/>
    </xf>
    <xf numFmtId="1" fontId="17" fillId="0" borderId="2" xfId="2" applyNumberFormat="1" applyFont="1" applyBorder="1"/>
    <xf numFmtId="0" fontId="14" fillId="0" borderId="0" xfId="2" applyFont="1" applyAlignment="1">
      <alignment vertical="center"/>
    </xf>
    <xf numFmtId="1" fontId="17" fillId="0" borderId="0" xfId="0" applyNumberFormat="1" applyFont="1"/>
    <xf numFmtId="0" fontId="14" fillId="0" borderId="0" xfId="2" applyFont="1" applyAlignment="1">
      <alignment horizontal="right"/>
    </xf>
    <xf numFmtId="165" fontId="14" fillId="0" borderId="0" xfId="2" applyNumberFormat="1" applyFont="1" applyAlignment="1">
      <alignment horizontal="right"/>
    </xf>
    <xf numFmtId="1" fontId="14" fillId="0" borderId="0" xfId="2" applyNumberFormat="1" applyFont="1" applyAlignment="1">
      <alignment horizontal="right"/>
    </xf>
    <xf numFmtId="0" fontId="14" fillId="0" borderId="0" xfId="2" applyFont="1"/>
    <xf numFmtId="165" fontId="14" fillId="0" borderId="7" xfId="2" applyNumberFormat="1" applyFont="1" applyBorder="1"/>
    <xf numFmtId="0" fontId="20" fillId="0" borderId="0" xfId="0" applyFont="1"/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1" fontId="8" fillId="3" borderId="2" xfId="2" applyNumberFormat="1" applyFont="1" applyFill="1" applyBorder="1"/>
    <xf numFmtId="165" fontId="8" fillId="3" borderId="2" xfId="2" applyNumberFormat="1" applyFont="1" applyFill="1" applyBorder="1"/>
    <xf numFmtId="0" fontId="8" fillId="3" borderId="2" xfId="2" applyFont="1" applyFill="1" applyBorder="1"/>
    <xf numFmtId="0" fontId="8" fillId="0" borderId="0" xfId="2" applyFont="1"/>
    <xf numFmtId="165" fontId="8" fillId="0" borderId="0" xfId="2" applyNumberFormat="1" applyFont="1"/>
    <xf numFmtId="1" fontId="8" fillId="0" borderId="0" xfId="2" applyNumberFormat="1" applyFont="1"/>
    <xf numFmtId="0" fontId="8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5" fillId="0" borderId="0" xfId="2" applyFont="1"/>
    <xf numFmtId="165" fontId="15" fillId="0" borderId="0" xfId="2" applyNumberFormat="1" applyFont="1"/>
    <xf numFmtId="1" fontId="15" fillId="0" borderId="0" xfId="2" applyNumberFormat="1" applyFont="1"/>
    <xf numFmtId="2" fontId="8" fillId="3" borderId="2" xfId="2" applyNumberFormat="1" applyFont="1" applyFill="1" applyBorder="1"/>
    <xf numFmtId="0" fontId="25" fillId="0" borderId="7" xfId="2" applyFont="1" applyBorder="1" applyAlignment="1">
      <alignment horizontal="center"/>
    </xf>
    <xf numFmtId="0" fontId="23" fillId="0" borderId="0" xfId="2" applyFont="1"/>
    <xf numFmtId="0" fontId="26" fillId="0" borderId="0" xfId="2" applyFont="1"/>
    <xf numFmtId="2" fontId="8" fillId="3" borderId="8" xfId="2" applyNumberFormat="1" applyFont="1" applyFill="1" applyBorder="1" applyAlignment="1">
      <alignment horizontal="center" vertical="center"/>
    </xf>
    <xf numFmtId="1" fontId="8" fillId="3" borderId="8" xfId="2" applyNumberFormat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2" fontId="14" fillId="3" borderId="8" xfId="2" applyNumberFormat="1" applyFont="1" applyFill="1" applyBorder="1" applyAlignment="1">
      <alignment horizontal="center" vertical="center"/>
    </xf>
    <xf numFmtId="1" fontId="14" fillId="3" borderId="8" xfId="2" applyNumberFormat="1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2" fontId="14" fillId="3" borderId="11" xfId="2" applyNumberFormat="1" applyFont="1" applyFill="1" applyBorder="1" applyAlignment="1">
      <alignment horizontal="center" vertical="center"/>
    </xf>
    <xf numFmtId="1" fontId="14" fillId="3" borderId="11" xfId="2" applyNumberFormat="1" applyFont="1" applyFill="1" applyBorder="1" applyAlignment="1">
      <alignment horizontal="center" vertical="center"/>
    </xf>
    <xf numFmtId="0" fontId="11" fillId="0" borderId="0" xfId="0" applyFont="1"/>
    <xf numFmtId="2" fontId="8" fillId="3" borderId="11" xfId="2" applyNumberFormat="1" applyFont="1" applyFill="1" applyBorder="1" applyAlignment="1">
      <alignment horizontal="center" vertical="center"/>
    </xf>
    <xf numFmtId="1" fontId="8" fillId="3" borderId="11" xfId="2" applyNumberFormat="1" applyFont="1" applyFill="1" applyBorder="1" applyAlignment="1">
      <alignment horizontal="center" vertical="center"/>
    </xf>
    <xf numFmtId="2" fontId="14" fillId="3" borderId="2" xfId="2" applyNumberFormat="1" applyFont="1" applyFill="1" applyBorder="1" applyAlignment="1">
      <alignment horizontal="center" vertical="center"/>
    </xf>
    <xf numFmtId="2" fontId="17" fillId="0" borderId="0" xfId="2" applyNumberFormat="1" applyFont="1"/>
    <xf numFmtId="0" fontId="23" fillId="0" borderId="2" xfId="2" applyFont="1" applyBorder="1"/>
    <xf numFmtId="0" fontId="9" fillId="0" borderId="8" xfId="2" applyFont="1" applyBorder="1" applyAlignment="1">
      <alignment vertical="center"/>
    </xf>
    <xf numFmtId="0" fontId="14" fillId="3" borderId="12" xfId="2" applyFont="1" applyFill="1" applyBorder="1" applyAlignment="1">
      <alignment horizontal="center" vertical="center"/>
    </xf>
    <xf numFmtId="0" fontId="17" fillId="0" borderId="0" xfId="2" applyFont="1"/>
    <xf numFmtId="1" fontId="9" fillId="3" borderId="8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right"/>
    </xf>
    <xf numFmtId="0" fontId="33" fillId="3" borderId="8" xfId="2" applyFont="1" applyFill="1" applyBorder="1" applyAlignment="1">
      <alignment horizontal="center" vertical="center"/>
    </xf>
    <xf numFmtId="0" fontId="34" fillId="3" borderId="8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3" fillId="21" borderId="8" xfId="2" applyFont="1" applyFill="1" applyBorder="1" applyAlignment="1">
      <alignment horizontal="center" vertical="center"/>
    </xf>
    <xf numFmtId="0" fontId="34" fillId="21" borderId="8" xfId="2" applyFont="1" applyFill="1" applyBorder="1" applyAlignment="1">
      <alignment horizontal="center" vertical="center"/>
    </xf>
    <xf numFmtId="1" fontId="11" fillId="0" borderId="0" xfId="0" applyNumberFormat="1" applyFont="1"/>
    <xf numFmtId="0" fontId="34" fillId="3" borderId="11" xfId="2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43" fillId="3" borderId="2" xfId="0" applyFont="1" applyFill="1" applyBorder="1" applyAlignment="1">
      <alignment horizontal="center"/>
    </xf>
    <xf numFmtId="0" fontId="44" fillId="3" borderId="2" xfId="0" applyFont="1" applyFill="1" applyBorder="1" applyAlignment="1">
      <alignment horizontal="center" vertical="center"/>
    </xf>
    <xf numFmtId="0" fontId="45" fillId="0" borderId="3" xfId="3" applyFont="1" applyBorder="1"/>
    <xf numFmtId="0" fontId="46" fillId="0" borderId="2" xfId="0" applyFont="1" applyBorder="1"/>
    <xf numFmtId="0" fontId="48" fillId="0" borderId="2" xfId="0" applyFont="1" applyBorder="1" applyAlignment="1">
      <alignment horizontal="center"/>
    </xf>
    <xf numFmtId="0" fontId="25" fillId="0" borderId="2" xfId="3" applyFont="1" applyBorder="1" applyAlignment="1">
      <alignment horizontal="center"/>
    </xf>
    <xf numFmtId="0" fontId="21" fillId="3" borderId="2" xfId="3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25" fillId="0" borderId="2" xfId="3" applyFont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0" fillId="0" borderId="3" xfId="3" applyFont="1" applyBorder="1"/>
    <xf numFmtId="0" fontId="49" fillId="0" borderId="3" xfId="3" applyFont="1" applyBorder="1"/>
    <xf numFmtId="0" fontId="51" fillId="0" borderId="2" xfId="0" applyFont="1" applyBorder="1"/>
    <xf numFmtId="0" fontId="52" fillId="0" borderId="2" xfId="3" applyFont="1" applyBorder="1"/>
    <xf numFmtId="0" fontId="50" fillId="0" borderId="2" xfId="3" applyFont="1" applyBorder="1"/>
    <xf numFmtId="0" fontId="50" fillId="0" borderId="0" xfId="3" applyFont="1"/>
    <xf numFmtId="0" fontId="52" fillId="0" borderId="6" xfId="3" applyFont="1" applyBorder="1"/>
    <xf numFmtId="0" fontId="51" fillId="0" borderId="0" xfId="0" applyFont="1"/>
    <xf numFmtId="0" fontId="53" fillId="0" borderId="2" xfId="0" applyFont="1" applyBorder="1"/>
    <xf numFmtId="0" fontId="54" fillId="0" borderId="2" xfId="3" applyFont="1" applyBorder="1"/>
    <xf numFmtId="0" fontId="49" fillId="0" borderId="2" xfId="3" applyFont="1" applyBorder="1"/>
    <xf numFmtId="0" fontId="49" fillId="0" borderId="0" xfId="3" applyFont="1"/>
    <xf numFmtId="0" fontId="54" fillId="0" borderId="6" xfId="3" applyFont="1" applyBorder="1"/>
    <xf numFmtId="0" fontId="53" fillId="0" borderId="0" xfId="0" applyFont="1"/>
    <xf numFmtId="0" fontId="55" fillId="0" borderId="2" xfId="0" applyFont="1" applyBorder="1"/>
    <xf numFmtId="0" fontId="56" fillId="0" borderId="3" xfId="3" applyFont="1" applyBorder="1"/>
    <xf numFmtId="0" fontId="56" fillId="0" borderId="2" xfId="3" applyFont="1" applyBorder="1"/>
    <xf numFmtId="0" fontId="48" fillId="0" borderId="2" xfId="0" applyFont="1" applyBorder="1" applyAlignment="1">
      <alignment horizontal="right"/>
    </xf>
    <xf numFmtId="0" fontId="21" fillId="3" borderId="2" xfId="3" applyFont="1" applyFill="1" applyBorder="1" applyAlignment="1">
      <alignment horizontal="right" vertical="center"/>
    </xf>
    <xf numFmtId="0" fontId="48" fillId="0" borderId="0" xfId="0" applyFont="1" applyAlignment="1">
      <alignment horizontal="right"/>
    </xf>
    <xf numFmtId="0" fontId="25" fillId="0" borderId="2" xfId="3" applyFont="1" applyBorder="1" applyAlignment="1">
      <alignment horizontal="right" vertical="center"/>
    </xf>
    <xf numFmtId="0" fontId="21" fillId="3" borderId="2" xfId="0" applyFont="1" applyFill="1" applyBorder="1" applyAlignment="1">
      <alignment horizontal="right" vertical="center"/>
    </xf>
    <xf numFmtId="0" fontId="57" fillId="0" borderId="0" xfId="0" applyFont="1"/>
    <xf numFmtId="0" fontId="58" fillId="0" borderId="0" xfId="0" applyFont="1"/>
    <xf numFmtId="1" fontId="58" fillId="0" borderId="0" xfId="0" applyNumberFormat="1" applyFont="1"/>
    <xf numFmtId="1" fontId="57" fillId="0" borderId="0" xfId="0" applyNumberFormat="1" applyFont="1"/>
    <xf numFmtId="0" fontId="9" fillId="0" borderId="8" xfId="2" applyFont="1" applyBorder="1" applyAlignment="1">
      <alignment horizontal="right"/>
    </xf>
    <xf numFmtId="0" fontId="9" fillId="0" borderId="8" xfId="2" applyFont="1" applyBorder="1"/>
    <xf numFmtId="1" fontId="14" fillId="0" borderId="0" xfId="0" applyNumberFormat="1" applyFont="1"/>
    <xf numFmtId="0" fontId="9" fillId="0" borderId="8" xfId="2" applyFont="1" applyBorder="1" applyAlignment="1">
      <alignment horizontal="right" vertical="top" wrapText="1"/>
    </xf>
    <xf numFmtId="0" fontId="14" fillId="0" borderId="0" xfId="0" applyFont="1"/>
    <xf numFmtId="0" fontId="34" fillId="0" borderId="2" xfId="0" applyFont="1" applyBorder="1"/>
    <xf numFmtId="1" fontId="34" fillId="0" borderId="2" xfId="0" applyNumberFormat="1" applyFont="1" applyBorder="1"/>
    <xf numFmtId="0" fontId="34" fillId="0" borderId="0" xfId="0" applyFont="1"/>
    <xf numFmtId="0" fontId="26" fillId="0" borderId="0" xfId="2" applyFont="1" applyAlignment="1">
      <alignment horizontal="center" vertical="center"/>
    </xf>
    <xf numFmtId="2" fontId="26" fillId="0" borderId="0" xfId="2" applyNumberFormat="1" applyFont="1" applyAlignment="1">
      <alignment horizontal="center" vertical="center"/>
    </xf>
    <xf numFmtId="1" fontId="26" fillId="0" borderId="0" xfId="2" applyNumberFormat="1" applyFont="1" applyAlignment="1">
      <alignment horizontal="center" vertical="center"/>
    </xf>
    <xf numFmtId="1" fontId="17" fillId="0" borderId="0" xfId="2" applyNumberFormat="1" applyFont="1"/>
    <xf numFmtId="1" fontId="34" fillId="0" borderId="0" xfId="0" applyNumberFormat="1" applyFont="1"/>
    <xf numFmtId="2" fontId="34" fillId="0" borderId="0" xfId="0" applyNumberFormat="1" applyFont="1"/>
    <xf numFmtId="0" fontId="59" fillId="3" borderId="2" xfId="0" applyFont="1" applyFill="1" applyBorder="1" applyAlignment="1">
      <alignment horizontal="center"/>
    </xf>
    <xf numFmtId="0" fontId="61" fillId="3" borderId="2" xfId="2" applyFont="1" applyFill="1" applyBorder="1" applyAlignment="1">
      <alignment horizontal="center" vertical="center"/>
    </xf>
    <xf numFmtId="0" fontId="62" fillId="3" borderId="2" xfId="2" applyFont="1" applyFill="1" applyBorder="1" applyAlignment="1">
      <alignment horizontal="center" vertical="center"/>
    </xf>
    <xf numFmtId="0" fontId="9" fillId="0" borderId="2" xfId="2" applyFont="1" applyBorder="1"/>
    <xf numFmtId="165" fontId="26" fillId="0" borderId="0" xfId="2" applyNumberFormat="1" applyFont="1" applyAlignment="1">
      <alignment horizontal="center" vertical="center"/>
    </xf>
    <xf numFmtId="0" fontId="9" fillId="0" borderId="5" xfId="2" applyFont="1" applyBorder="1"/>
    <xf numFmtId="0" fontId="9" fillId="0" borderId="0" xfId="2" applyFont="1"/>
    <xf numFmtId="0" fontId="9" fillId="0" borderId="2" xfId="2" applyFont="1" applyBorder="1" applyAlignment="1">
      <alignment horizontal="right" vertical="center"/>
    </xf>
    <xf numFmtId="0" fontId="9" fillId="0" borderId="0" xfId="2" applyFont="1" applyAlignment="1">
      <alignment horizontal="right"/>
    </xf>
    <xf numFmtId="165" fontId="17" fillId="0" borderId="0" xfId="2" applyNumberFormat="1" applyFont="1"/>
    <xf numFmtId="1" fontId="62" fillId="3" borderId="8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right"/>
    </xf>
    <xf numFmtId="0" fontId="9" fillId="0" borderId="11" xfId="2" applyFont="1" applyBorder="1" applyAlignment="1">
      <alignment horizontal="right"/>
    </xf>
    <xf numFmtId="0" fontId="9" fillId="0" borderId="8" xfId="2" applyFont="1" applyBorder="1" applyAlignment="1">
      <alignment horizontal="right" vertical="center"/>
    </xf>
    <xf numFmtId="0" fontId="9" fillId="0" borderId="11" xfId="2" applyFont="1" applyBorder="1" applyAlignment="1">
      <alignment horizontal="right" vertical="center"/>
    </xf>
    <xf numFmtId="0" fontId="9" fillId="0" borderId="8" xfId="2" applyFont="1" applyBorder="1" applyAlignment="1">
      <alignment horizontal="right" vertical="center" wrapText="1"/>
    </xf>
    <xf numFmtId="0" fontId="38" fillId="0" borderId="0" xfId="2" applyFont="1"/>
    <xf numFmtId="1" fontId="38" fillId="0" borderId="0" xfId="2" applyNumberFormat="1" applyFont="1"/>
    <xf numFmtId="0" fontId="33" fillId="0" borderId="0" xfId="0" applyFont="1"/>
    <xf numFmtId="1" fontId="39" fillId="0" borderId="0" xfId="0" applyNumberFormat="1" applyFont="1"/>
    <xf numFmtId="0" fontId="12" fillId="0" borderId="0" xfId="0" applyFont="1"/>
    <xf numFmtId="0" fontId="9" fillId="0" borderId="2" xfId="2" applyFont="1" applyBorder="1" applyAlignment="1">
      <alignment horizontal="right" vertical="top" wrapText="1"/>
    </xf>
    <xf numFmtId="0" fontId="26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34" fillId="3" borderId="2" xfId="0" applyFont="1" applyFill="1" applyBorder="1"/>
    <xf numFmtId="1" fontId="48" fillId="0" borderId="2" xfId="0" applyNumberFormat="1" applyFont="1" applyBorder="1" applyAlignment="1">
      <alignment horizontal="right"/>
    </xf>
    <xf numFmtId="1" fontId="25" fillId="0" borderId="2" xfId="3" applyNumberFormat="1" applyFont="1" applyBorder="1" applyAlignment="1">
      <alignment horizontal="right"/>
    </xf>
    <xf numFmtId="0" fontId="33" fillId="3" borderId="2" xfId="0" applyFont="1" applyFill="1" applyBorder="1"/>
    <xf numFmtId="1" fontId="25" fillId="0" borderId="2" xfId="3" applyNumberFormat="1" applyFont="1" applyBorder="1" applyAlignment="1">
      <alignment horizontal="right" vertical="center"/>
    </xf>
    <xf numFmtId="0" fontId="18" fillId="4" borderId="0" xfId="2" applyFont="1" applyFill="1" applyAlignment="1">
      <alignment horizontal="center"/>
    </xf>
    <xf numFmtId="0" fontId="8" fillId="4" borderId="0" xfId="2" applyFont="1" applyFill="1" applyAlignment="1">
      <alignment horizontal="right"/>
    </xf>
    <xf numFmtId="2" fontId="8" fillId="4" borderId="0" xfId="2" applyNumberFormat="1" applyFont="1" applyFill="1" applyAlignment="1">
      <alignment horizontal="right"/>
    </xf>
    <xf numFmtId="167" fontId="8" fillId="4" borderId="0" xfId="2" applyNumberFormat="1" applyFont="1" applyFill="1" applyAlignment="1">
      <alignment horizontal="right"/>
    </xf>
    <xf numFmtId="1" fontId="8" fillId="4" borderId="0" xfId="2" applyNumberFormat="1" applyFont="1" applyFill="1" applyAlignment="1">
      <alignment horizontal="right"/>
    </xf>
    <xf numFmtId="0" fontId="62" fillId="3" borderId="1" xfId="2" applyFont="1" applyFill="1" applyBorder="1" applyAlignment="1">
      <alignment horizontal="center" vertical="center"/>
    </xf>
    <xf numFmtId="0" fontId="9" fillId="0" borderId="2" xfId="2" applyFont="1" applyBorder="1" applyAlignment="1">
      <alignment vertical="center"/>
    </xf>
    <xf numFmtId="0" fontId="64" fillId="0" borderId="2" xfId="2" applyFont="1" applyBorder="1"/>
    <xf numFmtId="0" fontId="65" fillId="0" borderId="2" xfId="2" applyFont="1" applyBorder="1"/>
    <xf numFmtId="165" fontId="65" fillId="0" borderId="2" xfId="2" applyNumberFormat="1" applyFont="1" applyBorder="1"/>
    <xf numFmtId="1" fontId="64" fillId="0" borderId="2" xfId="2" applyNumberFormat="1" applyFont="1" applyBorder="1"/>
    <xf numFmtId="1" fontId="64" fillId="0" borderId="2" xfId="2" applyNumberFormat="1" applyFont="1" applyBorder="1" applyAlignment="1">
      <alignment horizontal="right"/>
    </xf>
    <xf numFmtId="0" fontId="64" fillId="0" borderId="2" xfId="2" applyFont="1" applyBorder="1" applyAlignment="1">
      <alignment horizontal="right"/>
    </xf>
    <xf numFmtId="2" fontId="65" fillId="0" borderId="2" xfId="2" applyNumberFormat="1" applyFont="1" applyBorder="1"/>
    <xf numFmtId="0" fontId="64" fillId="0" borderId="8" xfId="2" applyFont="1" applyBorder="1" applyAlignment="1">
      <alignment vertical="center"/>
    </xf>
    <xf numFmtId="1" fontId="64" fillId="0" borderId="2" xfId="2" applyNumberFormat="1" applyFont="1" applyBorder="1" applyAlignment="1">
      <alignment horizontal="right" vertical="center"/>
    </xf>
    <xf numFmtId="1" fontId="64" fillId="0" borderId="2" xfId="0" applyNumberFormat="1" applyFont="1" applyBorder="1" applyAlignment="1">
      <alignment horizontal="right"/>
    </xf>
    <xf numFmtId="1" fontId="64" fillId="8" borderId="2" xfId="2" applyNumberFormat="1" applyFont="1" applyFill="1" applyBorder="1"/>
    <xf numFmtId="0" fontId="64" fillId="0" borderId="3" xfId="2" applyFont="1" applyBorder="1" applyAlignment="1">
      <alignment horizontal="right" vertical="center" wrapText="1"/>
    </xf>
    <xf numFmtId="0" fontId="64" fillId="0" borderId="13" xfId="2" applyFont="1" applyBorder="1"/>
    <xf numFmtId="0" fontId="64" fillId="0" borderId="2" xfId="2" applyFont="1" applyBorder="1" applyAlignment="1">
      <alignment vertical="center"/>
    </xf>
    <xf numFmtId="0" fontId="64" fillId="0" borderId="2" xfId="2" applyFont="1" applyBorder="1" applyAlignment="1">
      <alignment horizontal="right" vertical="center"/>
    </xf>
    <xf numFmtId="1" fontId="64" fillId="0" borderId="2" xfId="2" applyNumberFormat="1" applyFont="1" applyBorder="1" applyAlignment="1">
      <alignment vertical="center"/>
    </xf>
    <xf numFmtId="1" fontId="64" fillId="0" borderId="8" xfId="2" applyNumberFormat="1" applyFont="1" applyBorder="1" applyAlignment="1">
      <alignment vertical="center"/>
    </xf>
    <xf numFmtId="1" fontId="64" fillId="10" borderId="2" xfId="2" applyNumberFormat="1" applyFont="1" applyFill="1" applyBorder="1"/>
    <xf numFmtId="165" fontId="0" fillId="0" borderId="0" xfId="0" applyNumberFormat="1"/>
    <xf numFmtId="0" fontId="9" fillId="4" borderId="2" xfId="2" applyFont="1" applyFill="1" applyBorder="1" applyAlignment="1">
      <alignment horizontal="right" vertical="center"/>
    </xf>
    <xf numFmtId="0" fontId="9" fillId="0" borderId="16" xfId="2" applyFont="1" applyBorder="1" applyAlignment="1">
      <alignment horizontal="right"/>
    </xf>
    <xf numFmtId="165" fontId="15" fillId="0" borderId="2" xfId="2" applyNumberFormat="1" applyFont="1" applyBorder="1"/>
    <xf numFmtId="1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 vertical="top" wrapText="1"/>
    </xf>
    <xf numFmtId="165" fontId="15" fillId="0" borderId="2" xfId="2" applyNumberFormat="1" applyFont="1" applyBorder="1" applyAlignment="1">
      <alignment horizontal="left" vertical="center"/>
    </xf>
    <xf numFmtId="0" fontId="15" fillId="0" borderId="2" xfId="2" applyFont="1" applyBorder="1"/>
    <xf numFmtId="0" fontId="9" fillId="0" borderId="2" xfId="0" applyFont="1" applyBorder="1" applyAlignment="1">
      <alignment wrapText="1"/>
    </xf>
    <xf numFmtId="0" fontId="15" fillId="0" borderId="0" xfId="2" applyFont="1" applyAlignment="1">
      <alignment vertical="center" wrapText="1"/>
    </xf>
    <xf numFmtId="0" fontId="9" fillId="0" borderId="11" xfId="2" applyFont="1" applyBorder="1" applyAlignment="1">
      <alignment horizontal="right" vertical="top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 wrapText="1"/>
    </xf>
    <xf numFmtId="0" fontId="15" fillId="0" borderId="10" xfId="2" applyFont="1" applyBorder="1"/>
    <xf numFmtId="0" fontId="9" fillId="0" borderId="2" xfId="2" applyFont="1" applyBorder="1" applyAlignment="1">
      <alignment vertical="top" wrapText="1"/>
    </xf>
    <xf numFmtId="0" fontId="9" fillId="0" borderId="2" xfId="0" applyFont="1" applyBorder="1"/>
    <xf numFmtId="0" fontId="9" fillId="0" borderId="2" xfId="0" applyFont="1" applyBorder="1" applyAlignment="1">
      <alignment vertical="top" wrapText="1"/>
    </xf>
    <xf numFmtId="0" fontId="9" fillId="0" borderId="11" xfId="2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2" xfId="2" applyFont="1" applyBorder="1"/>
    <xf numFmtId="0" fontId="9" fillId="0" borderId="12" xfId="2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top" wrapText="1"/>
    </xf>
    <xf numFmtId="0" fontId="9" fillId="0" borderId="11" xfId="2" applyFont="1" applyBorder="1"/>
    <xf numFmtId="0" fontId="9" fillId="0" borderId="12" xfId="0" applyFont="1" applyBorder="1" applyAlignment="1">
      <alignment horizontal="right" vertical="center" wrapText="1"/>
    </xf>
    <xf numFmtId="0" fontId="9" fillId="4" borderId="3" xfId="2" applyFont="1" applyFill="1" applyBorder="1" applyAlignment="1">
      <alignment horizontal="right" vertical="center" wrapText="1"/>
    </xf>
    <xf numFmtId="0" fontId="15" fillId="4" borderId="3" xfId="2" applyFont="1" applyFill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5" fillId="0" borderId="2" xfId="2" applyFont="1" applyBorder="1" applyAlignment="1">
      <alignment vertical="center"/>
    </xf>
    <xf numFmtId="1" fontId="9" fillId="0" borderId="8" xfId="2" applyNumberFormat="1" applyFont="1" applyBorder="1"/>
    <xf numFmtId="1" fontId="9" fillId="0" borderId="8" xfId="2" applyNumberFormat="1" applyFont="1" applyBorder="1" applyAlignment="1">
      <alignment horizontal="right" vertical="center"/>
    </xf>
    <xf numFmtId="1" fontId="9" fillId="0" borderId="8" xfId="2" applyNumberFormat="1" applyFont="1" applyBorder="1" applyAlignment="1">
      <alignment vertical="center"/>
    </xf>
    <xf numFmtId="1" fontId="9" fillId="0" borderId="2" xfId="2" applyNumberFormat="1" applyFont="1" applyBorder="1" applyAlignment="1">
      <alignment horizontal="right"/>
    </xf>
    <xf numFmtId="1" fontId="9" fillId="0" borderId="1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top" wrapText="1"/>
    </xf>
    <xf numFmtId="1" fontId="9" fillId="0" borderId="2" xfId="2" applyNumberFormat="1" applyFont="1" applyBorder="1" applyAlignment="1">
      <alignment horizontal="right" vertical="center"/>
    </xf>
    <xf numFmtId="1" fontId="9" fillId="0" borderId="12" xfId="2" applyNumberFormat="1" applyFont="1" applyBorder="1" applyAlignment="1">
      <alignment horizontal="right" vertical="center"/>
    </xf>
    <xf numFmtId="1" fontId="9" fillId="9" borderId="8" xfId="2" applyNumberFormat="1" applyFont="1" applyFill="1" applyBorder="1" applyAlignment="1">
      <alignment horizontal="right" vertical="center"/>
    </xf>
    <xf numFmtId="1" fontId="9" fillId="0" borderId="2" xfId="2" applyNumberFormat="1" applyFont="1" applyBorder="1"/>
    <xf numFmtId="1" fontId="9" fillId="0" borderId="20" xfId="2" applyNumberFormat="1" applyFont="1" applyBorder="1" applyAlignment="1">
      <alignment horizontal="right" vertical="center"/>
    </xf>
    <xf numFmtId="165" fontId="15" fillId="0" borderId="1" xfId="2" applyNumberFormat="1" applyFont="1" applyBorder="1"/>
    <xf numFmtId="1" fontId="9" fillId="0" borderId="16" xfId="2" applyNumberFormat="1" applyFont="1" applyBorder="1" applyAlignment="1">
      <alignment horizontal="right" vertical="center"/>
    </xf>
    <xf numFmtId="1" fontId="9" fillId="0" borderId="2" xfId="2" applyNumberFormat="1" applyFont="1" applyBorder="1" applyAlignment="1">
      <alignment vertical="center"/>
    </xf>
    <xf numFmtId="1" fontId="9" fillId="8" borderId="8" xfId="2" applyNumberFormat="1" applyFont="1" applyFill="1" applyBorder="1" applyAlignment="1">
      <alignment horizontal="right" vertical="center"/>
    </xf>
    <xf numFmtId="1" fontId="9" fillId="9" borderId="2" xfId="2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7" xfId="2" applyFont="1" applyBorder="1" applyAlignment="1">
      <alignment horizontal="center"/>
    </xf>
    <xf numFmtId="165" fontId="9" fillId="0" borderId="2" xfId="2" applyNumberFormat="1" applyFont="1" applyBorder="1"/>
    <xf numFmtId="1" fontId="14" fillId="3" borderId="24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0" fontId="35" fillId="0" borderId="0" xfId="2" applyFont="1" applyAlignment="1">
      <alignment vertical="center"/>
    </xf>
    <xf numFmtId="1" fontId="8" fillId="3" borderId="15" xfId="2" applyNumberFormat="1" applyFont="1" applyFill="1" applyBorder="1" applyAlignment="1">
      <alignment horizontal="right"/>
    </xf>
    <xf numFmtId="0" fontId="8" fillId="3" borderId="15" xfId="2" applyFont="1" applyFill="1" applyBorder="1" applyAlignment="1">
      <alignment horizontal="right"/>
    </xf>
    <xf numFmtId="1" fontId="8" fillId="3" borderId="15" xfId="2" applyNumberFormat="1" applyFont="1" applyFill="1" applyBorder="1"/>
    <xf numFmtId="0" fontId="8" fillId="4" borderId="0" xfId="2" applyFont="1" applyFill="1" applyAlignment="1">
      <alignment horizontal="center"/>
    </xf>
    <xf numFmtId="1" fontId="15" fillId="3" borderId="15" xfId="2" applyNumberFormat="1" applyFont="1" applyFill="1" applyBorder="1"/>
    <xf numFmtId="1" fontId="18" fillId="3" borderId="15" xfId="2" applyNumberFormat="1" applyFont="1" applyFill="1" applyBorder="1"/>
    <xf numFmtId="0" fontId="8" fillId="3" borderId="15" xfId="2" applyFont="1" applyFill="1" applyBorder="1"/>
    <xf numFmtId="1" fontId="8" fillId="4" borderId="0" xfId="2" applyNumberFormat="1" applyFont="1" applyFill="1"/>
    <xf numFmtId="0" fontId="65" fillId="0" borderId="0" xfId="2" applyFont="1"/>
    <xf numFmtId="0" fontId="8" fillId="3" borderId="12" xfId="2" applyFont="1" applyFill="1" applyBorder="1" applyAlignment="1">
      <alignment vertical="center"/>
    </xf>
    <xf numFmtId="0" fontId="8" fillId="16" borderId="1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2" fontId="9" fillId="0" borderId="8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/>
    </xf>
    <xf numFmtId="167" fontId="9" fillId="0" borderId="8" xfId="2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right" vertical="center" wrapText="1"/>
    </xf>
    <xf numFmtId="0" fontId="8" fillId="3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right" vertical="center"/>
    </xf>
    <xf numFmtId="2" fontId="8" fillId="3" borderId="2" xfId="2" applyNumberFormat="1" applyFont="1" applyFill="1" applyBorder="1" applyAlignment="1">
      <alignment horizontal="right" vertical="center"/>
    </xf>
    <xf numFmtId="1" fontId="8" fillId="3" borderId="2" xfId="2" applyNumberFormat="1" applyFont="1" applyFill="1" applyBorder="1" applyAlignment="1">
      <alignment horizontal="right" vertical="center"/>
    </xf>
    <xf numFmtId="0" fontId="62" fillId="3" borderId="2" xfId="2" applyFont="1" applyFill="1" applyBorder="1"/>
    <xf numFmtId="0" fontId="61" fillId="3" borderId="2" xfId="2" applyFont="1" applyFill="1" applyBorder="1" applyAlignment="1">
      <alignment vertical="center"/>
    </xf>
    <xf numFmtId="0" fontId="61" fillId="3" borderId="2" xfId="2" applyFont="1" applyFill="1" applyBorder="1" applyAlignment="1">
      <alignment horizontal="right" vertical="center"/>
    </xf>
    <xf numFmtId="2" fontId="64" fillId="0" borderId="2" xfId="2" applyNumberFormat="1" applyFont="1" applyBorder="1" applyAlignment="1">
      <alignment horizontal="right"/>
    </xf>
    <xf numFmtId="165" fontId="64" fillId="0" borderId="2" xfId="2" applyNumberFormat="1" applyFont="1" applyBorder="1" applyAlignment="1">
      <alignment horizontal="right"/>
    </xf>
    <xf numFmtId="0" fontId="64" fillId="0" borderId="2" xfId="2" applyFont="1" applyBorder="1" applyAlignment="1">
      <alignment vertical="center" wrapText="1"/>
    </xf>
    <xf numFmtId="0" fontId="69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1" fontId="61" fillId="3" borderId="2" xfId="2" applyNumberFormat="1" applyFont="1" applyFill="1" applyBorder="1"/>
    <xf numFmtId="2" fontId="9" fillId="0" borderId="2" xfId="2" applyNumberFormat="1" applyFont="1" applyBorder="1" applyAlignment="1">
      <alignment vertical="center" wrapText="1"/>
    </xf>
    <xf numFmtId="0" fontId="9" fillId="0" borderId="3" xfId="2" applyFont="1" applyBorder="1" applyAlignment="1">
      <alignment horizontal="right" vertical="center" wrapText="1"/>
    </xf>
    <xf numFmtId="0" fontId="9" fillId="0" borderId="13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2" fontId="9" fillId="0" borderId="8" xfId="2" applyNumberFormat="1" applyFont="1" applyBorder="1" applyAlignment="1">
      <alignment horizontal="right" vertical="center"/>
    </xf>
    <xf numFmtId="0" fontId="9" fillId="0" borderId="13" xfId="2" applyFont="1" applyBorder="1" applyAlignment="1">
      <alignment vertical="center"/>
    </xf>
    <xf numFmtId="2" fontId="9" fillId="0" borderId="8" xfId="2" applyNumberFormat="1" applyFont="1" applyBorder="1" applyAlignment="1">
      <alignment vertical="center" wrapText="1"/>
    </xf>
    <xf numFmtId="2" fontId="9" fillId="0" borderId="8" xfId="2" applyNumberFormat="1" applyFont="1" applyBorder="1" applyAlignment="1">
      <alignment vertical="center"/>
    </xf>
    <xf numFmtId="0" fontId="9" fillId="0" borderId="2" xfId="2" applyFont="1" applyBorder="1" applyAlignment="1">
      <alignment horizontal="right" vertical="center" wrapText="1"/>
    </xf>
    <xf numFmtId="2" fontId="9" fillId="0" borderId="2" xfId="2" applyNumberFormat="1" applyFont="1" applyBorder="1" applyAlignment="1">
      <alignment horizontal="right" vertical="center" wrapText="1"/>
    </xf>
    <xf numFmtId="0" fontId="38" fillId="0" borderId="0" xfId="0" applyFont="1"/>
    <xf numFmtId="2" fontId="9" fillId="0" borderId="2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8" xfId="2" applyNumberFormat="1" applyFont="1" applyBorder="1" applyAlignment="1">
      <alignment horizontal="right" vertical="center" wrapText="1"/>
    </xf>
    <xf numFmtId="1" fontId="9" fillId="0" borderId="8" xfId="2" applyNumberFormat="1" applyFont="1" applyBorder="1" applyAlignment="1">
      <alignment horizontal="right" vertical="center" wrapText="1"/>
    </xf>
    <xf numFmtId="0" fontId="9" fillId="9" borderId="8" xfId="2" applyFont="1" applyFill="1" applyBorder="1" applyAlignment="1">
      <alignment horizontal="right" vertical="center"/>
    </xf>
    <xf numFmtId="0" fontId="9" fillId="9" borderId="8" xfId="2" applyFont="1" applyFill="1" applyBorder="1" applyAlignment="1">
      <alignment vertical="center"/>
    </xf>
    <xf numFmtId="0" fontId="9" fillId="9" borderId="8" xfId="2" applyFont="1" applyFill="1" applyBorder="1" applyAlignment="1">
      <alignment vertical="center" wrapText="1"/>
    </xf>
    <xf numFmtId="0" fontId="9" fillId="0" borderId="11" xfId="2" applyFont="1" applyBorder="1" applyAlignment="1">
      <alignment horizontal="right" vertical="center" wrapText="1"/>
    </xf>
    <xf numFmtId="1" fontId="9" fillId="0" borderId="11" xfId="2" applyNumberFormat="1" applyFont="1" applyBorder="1" applyAlignment="1">
      <alignment horizontal="right" vertical="center" wrapText="1"/>
    </xf>
    <xf numFmtId="0" fontId="9" fillId="0" borderId="31" xfId="2" applyFont="1" applyBorder="1" applyAlignment="1">
      <alignment horizontal="right" vertical="center" wrapText="1"/>
    </xf>
    <xf numFmtId="2" fontId="9" fillId="0" borderId="11" xfId="2" applyNumberFormat="1" applyFont="1" applyBorder="1" applyAlignment="1">
      <alignment horizontal="right" vertical="center" wrapText="1"/>
    </xf>
    <xf numFmtId="0" fontId="9" fillId="0" borderId="10" xfId="2" applyFont="1" applyBorder="1" applyAlignment="1">
      <alignment vertical="center"/>
    </xf>
    <xf numFmtId="2" fontId="9" fillId="0" borderId="13" xfId="2" applyNumberFormat="1" applyFont="1" applyBorder="1" applyAlignment="1">
      <alignment horizontal="right" vertical="center" wrapText="1"/>
    </xf>
    <xf numFmtId="0" fontId="9" fillId="0" borderId="14" xfId="2" applyFont="1" applyBorder="1" applyAlignment="1">
      <alignment vertical="center"/>
    </xf>
    <xf numFmtId="1" fontId="9" fillId="0" borderId="8" xfId="0" applyNumberFormat="1" applyFont="1" applyBorder="1" applyAlignment="1">
      <alignment horizontal="right" vertical="center" wrapText="1"/>
    </xf>
    <xf numFmtId="2" fontId="9" fillId="0" borderId="13" xfId="2" applyNumberFormat="1" applyFont="1" applyBorder="1" applyAlignment="1">
      <alignment vertical="center"/>
    </xf>
    <xf numFmtId="1" fontId="9" fillId="0" borderId="14" xfId="2" applyNumberFormat="1" applyFont="1" applyBorder="1" applyAlignment="1">
      <alignment vertical="center"/>
    </xf>
    <xf numFmtId="0" fontId="8" fillId="3" borderId="8" xfId="2" applyFont="1" applyFill="1" applyBorder="1" applyAlignment="1">
      <alignment horizontal="right" vertical="center"/>
    </xf>
    <xf numFmtId="165" fontId="9" fillId="0" borderId="8" xfId="2" applyNumberFormat="1" applyFont="1" applyBorder="1" applyAlignment="1">
      <alignment horizontal="right" vertical="center"/>
    </xf>
    <xf numFmtId="165" fontId="14" fillId="16" borderId="8" xfId="2" applyNumberFormat="1" applyFont="1" applyFill="1" applyBorder="1" applyAlignment="1">
      <alignment horizontal="center" vertical="center"/>
    </xf>
    <xf numFmtId="0" fontId="14" fillId="16" borderId="8" xfId="2" applyFont="1" applyFill="1" applyBorder="1" applyAlignment="1">
      <alignment horizontal="center" vertical="center"/>
    </xf>
    <xf numFmtId="1" fontId="9" fillId="0" borderId="14" xfId="2" applyNumberFormat="1" applyFont="1" applyBorder="1" applyAlignment="1">
      <alignment horizontal="right" vertical="center"/>
    </xf>
    <xf numFmtId="1" fontId="9" fillId="0" borderId="11" xfId="2" applyNumberFormat="1" applyFont="1" applyBorder="1" applyAlignment="1">
      <alignment vertical="center"/>
    </xf>
    <xf numFmtId="0" fontId="9" fillId="0" borderId="17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1" fontId="9" fillId="0" borderId="12" xfId="2" applyNumberFormat="1" applyFont="1" applyBorder="1" applyAlignment="1">
      <alignment vertical="center"/>
    </xf>
    <xf numFmtId="165" fontId="9" fillId="0" borderId="2" xfId="2" applyNumberFormat="1" applyFont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0" fontId="38" fillId="0" borderId="2" xfId="0" applyFont="1" applyBorder="1"/>
    <xf numFmtId="165" fontId="9" fillId="0" borderId="2" xfId="2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left" vertical="center" wrapText="1"/>
    </xf>
    <xf numFmtId="1" fontId="9" fillId="0" borderId="2" xfId="0" applyNumberFormat="1" applyFont="1" applyBorder="1" applyAlignment="1">
      <alignment vertical="center" wrapText="1"/>
    </xf>
    <xf numFmtId="165" fontId="14" fillId="16" borderId="13" xfId="2" applyNumberFormat="1" applyFont="1" applyFill="1" applyBorder="1" applyAlignment="1">
      <alignment horizontal="center" vertical="center"/>
    </xf>
    <xf numFmtId="0" fontId="38" fillId="0" borderId="8" xfId="2" applyFont="1" applyBorder="1" applyAlignment="1">
      <alignment horizontal="right" vertical="center"/>
    </xf>
    <xf numFmtId="0" fontId="38" fillId="0" borderId="8" xfId="2" applyFont="1" applyBorder="1" applyAlignment="1">
      <alignment vertical="center" wrapText="1"/>
    </xf>
    <xf numFmtId="0" fontId="38" fillId="0" borderId="2" xfId="2" applyFont="1" applyBorder="1" applyAlignment="1">
      <alignment horizontal="right" vertical="center"/>
    </xf>
    <xf numFmtId="0" fontId="38" fillId="0" borderId="13" xfId="2" applyFont="1" applyBorder="1" applyAlignment="1">
      <alignment vertical="center"/>
    </xf>
    <xf numFmtId="0" fontId="38" fillId="0" borderId="8" xfId="2" applyFont="1" applyBorder="1" applyAlignment="1">
      <alignment vertical="center"/>
    </xf>
    <xf numFmtId="0" fontId="38" fillId="0" borderId="2" xfId="2" applyFont="1" applyBorder="1" applyAlignment="1">
      <alignment vertical="center"/>
    </xf>
    <xf numFmtId="0" fontId="38" fillId="0" borderId="3" xfId="2" applyFont="1" applyBorder="1" applyAlignment="1">
      <alignment vertical="center" wrapText="1"/>
    </xf>
    <xf numFmtId="0" fontId="38" fillId="0" borderId="17" xfId="2" applyFont="1" applyBorder="1" applyAlignment="1">
      <alignment vertical="center"/>
    </xf>
    <xf numFmtId="0" fontId="38" fillId="0" borderId="8" xfId="2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0" borderId="2" xfId="2" applyFont="1" applyBorder="1" applyAlignment="1">
      <alignment horizontal="right" vertical="center" wrapText="1"/>
    </xf>
    <xf numFmtId="0" fontId="77" fillId="3" borderId="8" xfId="2" applyFont="1" applyFill="1" applyBorder="1" applyAlignment="1">
      <alignment horizontal="center" vertical="center"/>
    </xf>
    <xf numFmtId="0" fontId="78" fillId="3" borderId="8" xfId="2" applyFont="1" applyFill="1" applyBorder="1" applyAlignment="1">
      <alignment horizontal="center" vertical="center"/>
    </xf>
    <xf numFmtId="0" fontId="9" fillId="0" borderId="16" xfId="2" applyFont="1" applyBorder="1" applyAlignment="1">
      <alignment vertical="center"/>
    </xf>
    <xf numFmtId="0" fontId="9" fillId="0" borderId="20" xfId="2" applyFont="1" applyBorder="1" applyAlignment="1">
      <alignment vertical="center" wrapText="1"/>
    </xf>
    <xf numFmtId="0" fontId="38" fillId="0" borderId="2" xfId="0" applyFont="1" applyBorder="1" applyAlignment="1">
      <alignment vertical="center"/>
    </xf>
    <xf numFmtId="0" fontId="9" fillId="0" borderId="3" xfId="2" applyFont="1" applyBorder="1" applyAlignment="1">
      <alignment vertical="center" wrapText="1"/>
    </xf>
    <xf numFmtId="0" fontId="9" fillId="0" borderId="11" xfId="2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8" fillId="16" borderId="8" xfId="2" applyFont="1" applyFill="1" applyBorder="1" applyAlignment="1">
      <alignment vertical="center"/>
    </xf>
    <xf numFmtId="165" fontId="8" fillId="16" borderId="8" xfId="2" applyNumberFormat="1" applyFont="1" applyFill="1" applyBorder="1" applyAlignment="1">
      <alignment horizontal="center" vertical="center"/>
    </xf>
    <xf numFmtId="0" fontId="8" fillId="16" borderId="8" xfId="2" applyFont="1" applyFill="1" applyBorder="1" applyAlignment="1">
      <alignment horizontal="center" vertical="center"/>
    </xf>
    <xf numFmtId="1" fontId="8" fillId="16" borderId="8" xfId="2" applyNumberFormat="1" applyFont="1" applyFill="1" applyBorder="1" applyAlignment="1">
      <alignment horizontal="center" vertical="center"/>
    </xf>
    <xf numFmtId="0" fontId="14" fillId="16" borderId="11" xfId="2" applyFont="1" applyFill="1" applyBorder="1" applyAlignment="1">
      <alignment horizontal="center" vertical="center"/>
    </xf>
    <xf numFmtId="1" fontId="14" fillId="16" borderId="8" xfId="2" applyNumberFormat="1" applyFont="1" applyFill="1" applyBorder="1" applyAlignment="1">
      <alignment horizontal="center" vertical="center"/>
    </xf>
    <xf numFmtId="0" fontId="9" fillId="10" borderId="8" xfId="2" applyFont="1" applyFill="1" applyBorder="1" applyAlignment="1">
      <alignment vertical="center"/>
    </xf>
    <xf numFmtId="1" fontId="14" fillId="0" borderId="0" xfId="0" applyNumberFormat="1" applyFont="1" applyAlignment="1">
      <alignment vertical="center"/>
    </xf>
    <xf numFmtId="0" fontId="9" fillId="0" borderId="0" xfId="2" applyFont="1" applyAlignment="1">
      <alignment horizontal="right"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" fontId="18" fillId="0" borderId="0" xfId="2" applyNumberFormat="1" applyFont="1" applyAlignment="1">
      <alignment vertical="center"/>
    </xf>
    <xf numFmtId="0" fontId="17" fillId="0" borderId="0" xfId="2" applyFont="1" applyAlignment="1">
      <alignment horizontal="right" vertical="center"/>
    </xf>
    <xf numFmtId="0" fontId="8" fillId="16" borderId="12" xfId="2" applyFont="1" applyFill="1" applyBorder="1" applyAlignment="1">
      <alignment vertical="center"/>
    </xf>
    <xf numFmtId="0" fontId="17" fillId="0" borderId="0" xfId="2" applyFont="1" applyAlignment="1">
      <alignment vertical="center"/>
    </xf>
    <xf numFmtId="165" fontId="17" fillId="0" borderId="0" xfId="2" applyNumberFormat="1" applyFont="1" applyAlignment="1">
      <alignment vertical="center"/>
    </xf>
    <xf numFmtId="1" fontId="17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27" xfId="2" applyFont="1" applyBorder="1" applyAlignment="1">
      <alignment horizontal="right" vertical="center"/>
    </xf>
    <xf numFmtId="0" fontId="17" fillId="0" borderId="27" xfId="2" applyFont="1" applyBorder="1" applyAlignment="1">
      <alignment vertical="center"/>
    </xf>
    <xf numFmtId="165" fontId="17" fillId="0" borderId="27" xfId="2" applyNumberFormat="1" applyFont="1" applyBorder="1" applyAlignment="1">
      <alignment vertical="center"/>
    </xf>
    <xf numFmtId="1" fontId="17" fillId="0" borderId="27" xfId="2" applyNumberFormat="1" applyFont="1" applyBorder="1" applyAlignment="1">
      <alignment vertical="center"/>
    </xf>
    <xf numFmtId="0" fontId="17" fillId="0" borderId="27" xfId="2" applyFont="1" applyBorder="1" applyAlignment="1">
      <alignment horizontal="right" vertical="center"/>
    </xf>
    <xf numFmtId="0" fontId="8" fillId="16" borderId="11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4" xfId="2" applyFont="1" applyBorder="1" applyAlignment="1">
      <alignment vertical="center" wrapText="1"/>
    </xf>
    <xf numFmtId="0" fontId="9" fillId="0" borderId="16" xfId="2" applyFont="1" applyBorder="1" applyAlignment="1">
      <alignment horizontal="right" vertical="center"/>
    </xf>
    <xf numFmtId="1" fontId="8" fillId="16" borderId="11" xfId="2" applyNumberFormat="1" applyFont="1" applyFill="1" applyBorder="1" applyAlignment="1">
      <alignment vertical="center"/>
    </xf>
    <xf numFmtId="0" fontId="9" fillId="0" borderId="2" xfId="0" quotePrefix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" fontId="8" fillId="16" borderId="24" xfId="2" applyNumberFormat="1" applyFont="1" applyFill="1" applyBorder="1" applyAlignment="1">
      <alignment vertical="center"/>
    </xf>
    <xf numFmtId="1" fontId="14" fillId="0" borderId="0" xfId="2" applyNumberFormat="1" applyFont="1" applyAlignment="1">
      <alignment vertical="center"/>
    </xf>
    <xf numFmtId="165" fontId="18" fillId="0" borderId="5" xfId="2" applyNumberFormat="1" applyFont="1" applyBorder="1" applyAlignment="1">
      <alignment vertical="center"/>
    </xf>
    <xf numFmtId="0" fontId="15" fillId="0" borderId="8" xfId="2" applyFont="1" applyBorder="1" applyAlignment="1">
      <alignment horizontal="right" vertical="center"/>
    </xf>
    <xf numFmtId="165" fontId="17" fillId="0" borderId="0" xfId="2" applyNumberFormat="1" applyFont="1" applyAlignment="1">
      <alignment horizontal="right" vertical="center"/>
    </xf>
    <xf numFmtId="1" fontId="9" fillId="12" borderId="8" xfId="2" applyNumberFormat="1" applyFont="1" applyFill="1" applyBorder="1" applyAlignment="1">
      <alignment vertical="center"/>
    </xf>
    <xf numFmtId="1" fontId="8" fillId="16" borderId="8" xfId="2" applyNumberFormat="1" applyFont="1" applyFill="1" applyBorder="1" applyAlignment="1">
      <alignment vertical="center"/>
    </xf>
    <xf numFmtId="165" fontId="9" fillId="0" borderId="0" xfId="2" applyNumberFormat="1" applyFont="1" applyAlignment="1">
      <alignment vertical="center"/>
    </xf>
    <xf numFmtId="1" fontId="9" fillId="0" borderId="0" xfId="2" applyNumberFormat="1" applyFont="1" applyAlignment="1">
      <alignment vertical="center"/>
    </xf>
    <xf numFmtId="1" fontId="9" fillId="9" borderId="8" xfId="0" applyNumberFormat="1" applyFont="1" applyFill="1" applyBorder="1" applyAlignment="1">
      <alignment horizontal="right" vertical="center"/>
    </xf>
    <xf numFmtId="1" fontId="9" fillId="9" borderId="8" xfId="2" applyNumberFormat="1" applyFont="1" applyFill="1" applyBorder="1" applyAlignment="1">
      <alignment vertical="center"/>
    </xf>
    <xf numFmtId="1" fontId="9" fillId="8" borderId="8" xfId="2" applyNumberFormat="1" applyFont="1" applyFill="1" applyBorder="1" applyAlignment="1">
      <alignment vertical="center"/>
    </xf>
    <xf numFmtId="1" fontId="9" fillId="0" borderId="1" xfId="2" applyNumberFormat="1" applyFont="1" applyBorder="1" applyAlignment="1">
      <alignment horizontal="right" vertical="center"/>
    </xf>
    <xf numFmtId="1" fontId="9" fillId="0" borderId="16" xfId="2" applyNumberFormat="1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16" borderId="2" xfId="2" applyFont="1" applyFill="1" applyBorder="1" applyAlignment="1">
      <alignment vertical="center"/>
    </xf>
    <xf numFmtId="0" fontId="8" fillId="16" borderId="25" xfId="2" applyFont="1" applyFill="1" applyBorder="1" applyAlignment="1">
      <alignment vertical="center"/>
    </xf>
    <xf numFmtId="1" fontId="9" fillId="0" borderId="21" xfId="2" applyNumberFormat="1" applyFont="1" applyBorder="1" applyAlignment="1">
      <alignment vertical="center"/>
    </xf>
    <xf numFmtId="1" fontId="9" fillId="0" borderId="19" xfId="2" applyNumberFormat="1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1" fontId="8" fillId="0" borderId="0" xfId="2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9" fillId="11" borderId="0" xfId="2" applyFont="1" applyFill="1" applyAlignment="1">
      <alignment horizontal="right" vertical="center"/>
    </xf>
    <xf numFmtId="0" fontId="18" fillId="11" borderId="0" xfId="2" applyFont="1" applyFill="1" applyAlignment="1">
      <alignment vertical="center"/>
    </xf>
    <xf numFmtId="165" fontId="18" fillId="11" borderId="0" xfId="2" applyNumberFormat="1" applyFont="1" applyFill="1" applyAlignment="1">
      <alignment vertical="center"/>
    </xf>
    <xf numFmtId="1" fontId="18" fillId="11" borderId="0" xfId="2" applyNumberFormat="1" applyFont="1" applyFill="1" applyAlignment="1">
      <alignment vertical="center"/>
    </xf>
    <xf numFmtId="0" fontId="17" fillId="11" borderId="0" xfId="2" applyFont="1" applyFill="1" applyAlignment="1">
      <alignment horizontal="right" vertical="center"/>
    </xf>
    <xf numFmtId="0" fontId="34" fillId="0" borderId="0" xfId="0" applyFont="1" applyAlignment="1">
      <alignment vertical="center"/>
    </xf>
    <xf numFmtId="1" fontId="34" fillId="0" borderId="0" xfId="0" applyNumberFormat="1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10" fillId="0" borderId="2" xfId="0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166" fontId="10" fillId="0" borderId="2" xfId="0" applyNumberFormat="1" applyFont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 wrapText="1"/>
    </xf>
    <xf numFmtId="165" fontId="8" fillId="3" borderId="2" xfId="2" applyNumberFormat="1" applyFont="1" applyFill="1" applyBorder="1" applyAlignment="1">
      <alignment horizontal="right" vertical="center"/>
    </xf>
    <xf numFmtId="0" fontId="18" fillId="4" borderId="0" xfId="2" applyFont="1" applyFill="1" applyAlignment="1">
      <alignment horizontal="center" vertical="center"/>
    </xf>
    <xf numFmtId="0" fontId="8" fillId="4" borderId="0" xfId="2" applyFont="1" applyFill="1" applyAlignment="1">
      <alignment horizontal="right" vertical="center"/>
    </xf>
    <xf numFmtId="2" fontId="8" fillId="4" borderId="0" xfId="2" applyNumberFormat="1" applyFont="1" applyFill="1" applyAlignment="1">
      <alignment horizontal="right" vertical="center"/>
    </xf>
    <xf numFmtId="165" fontId="8" fillId="4" borderId="0" xfId="2" applyNumberFormat="1" applyFont="1" applyFill="1" applyAlignment="1">
      <alignment horizontal="right" vertical="center"/>
    </xf>
    <xf numFmtId="1" fontId="8" fillId="4" borderId="0" xfId="2" applyNumberFormat="1" applyFont="1" applyFill="1" applyAlignment="1">
      <alignment horizontal="right" vertical="center"/>
    </xf>
    <xf numFmtId="0" fontId="9" fillId="0" borderId="5" xfId="2" applyFont="1" applyBorder="1" applyAlignment="1">
      <alignment vertical="center"/>
    </xf>
    <xf numFmtId="2" fontId="15" fillId="0" borderId="5" xfId="2" applyNumberFormat="1" applyFont="1" applyBorder="1" applyAlignment="1">
      <alignment vertical="center"/>
    </xf>
    <xf numFmtId="0" fontId="14" fillId="0" borderId="5" xfId="2" applyFont="1" applyBorder="1" applyAlignment="1">
      <alignment horizontal="right" vertical="center"/>
    </xf>
    <xf numFmtId="165" fontId="14" fillId="0" borderId="5" xfId="2" applyNumberFormat="1" applyFont="1" applyBorder="1" applyAlignment="1">
      <alignment horizontal="right" vertical="center"/>
    </xf>
    <xf numFmtId="1" fontId="14" fillId="0" borderId="5" xfId="2" applyNumberFormat="1" applyFont="1" applyBorder="1" applyAlignment="1">
      <alignment horizontal="right" vertical="center"/>
    </xf>
    <xf numFmtId="2" fontId="15" fillId="0" borderId="0" xfId="2" applyNumberFormat="1" applyFont="1" applyAlignment="1">
      <alignment vertical="center"/>
    </xf>
    <xf numFmtId="0" fontId="14" fillId="0" borderId="0" xfId="2" applyFont="1" applyAlignment="1">
      <alignment horizontal="right" vertical="center"/>
    </xf>
    <xf numFmtId="165" fontId="14" fillId="0" borderId="0" xfId="2" applyNumberFormat="1" applyFont="1" applyAlignment="1">
      <alignment horizontal="right" vertical="center"/>
    </xf>
    <xf numFmtId="1" fontId="14" fillId="0" borderId="0" xfId="2" applyNumberFormat="1" applyFont="1" applyAlignment="1">
      <alignment horizontal="right" vertical="center"/>
    </xf>
    <xf numFmtId="2" fontId="9" fillId="0" borderId="2" xfId="2" applyNumberFormat="1" applyFont="1" applyBorder="1" applyAlignment="1">
      <alignment vertical="center"/>
    </xf>
    <xf numFmtId="167" fontId="9" fillId="0" borderId="8" xfId="2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2" fontId="18" fillId="0" borderId="0" xfId="2" applyNumberFormat="1" applyFont="1" applyAlignment="1">
      <alignment vertical="center"/>
    </xf>
    <xf numFmtId="165" fontId="18" fillId="0" borderId="0" xfId="2" applyNumberFormat="1" applyFont="1" applyAlignment="1">
      <alignment horizontal="right" vertical="center"/>
    </xf>
    <xf numFmtId="0" fontId="18" fillId="0" borderId="0" xfId="2" applyFont="1" applyAlignment="1">
      <alignment horizontal="right" vertical="center"/>
    </xf>
    <xf numFmtId="2" fontId="8" fillId="3" borderId="2" xfId="2" applyNumberFormat="1" applyFont="1" applyFill="1" applyBorder="1" applyAlignment="1">
      <alignment vertical="center"/>
    </xf>
    <xf numFmtId="165" fontId="8" fillId="3" borderId="2" xfId="2" applyNumberFormat="1" applyFont="1" applyFill="1" applyBorder="1" applyAlignment="1">
      <alignment vertical="center"/>
    </xf>
    <xf numFmtId="1" fontId="8" fillId="3" borderId="2" xfId="2" applyNumberFormat="1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165" fontId="15" fillId="0" borderId="2" xfId="2" applyNumberFormat="1" applyFont="1" applyBorder="1" applyAlignment="1">
      <alignment vertical="center"/>
    </xf>
    <xf numFmtId="0" fontId="2" fillId="0" borderId="0" xfId="2" applyAlignment="1">
      <alignment vertical="center"/>
    </xf>
    <xf numFmtId="0" fontId="15" fillId="0" borderId="1" xfId="2" applyFont="1" applyBorder="1" applyAlignment="1">
      <alignment vertical="center"/>
    </xf>
    <xf numFmtId="0" fontId="9" fillId="0" borderId="5" xfId="2" applyFont="1" applyBorder="1" applyAlignment="1">
      <alignment horizontal="right" vertical="center"/>
    </xf>
    <xf numFmtId="165" fontId="9" fillId="0" borderId="5" xfId="2" applyNumberFormat="1" applyFont="1" applyBorder="1" applyAlignment="1">
      <alignment horizontal="right" vertical="center"/>
    </xf>
    <xf numFmtId="1" fontId="9" fillId="0" borderId="5" xfId="2" applyNumberFormat="1" applyFont="1" applyBorder="1" applyAlignment="1">
      <alignment horizontal="right" vertical="center"/>
    </xf>
    <xf numFmtId="167" fontId="8" fillId="3" borderId="2" xfId="2" applyNumberFormat="1" applyFont="1" applyFill="1" applyBorder="1" applyAlignment="1">
      <alignment horizontal="right" vertical="center"/>
    </xf>
    <xf numFmtId="0" fontId="15" fillId="4" borderId="0" xfId="2" applyFont="1" applyFill="1" applyAlignment="1">
      <alignment horizontal="center" vertical="center"/>
    </xf>
    <xf numFmtId="0" fontId="15" fillId="4" borderId="0" xfId="2" applyFont="1" applyFill="1" applyAlignment="1">
      <alignment horizontal="right" vertical="center"/>
    </xf>
    <xf numFmtId="2" fontId="15" fillId="4" borderId="0" xfId="2" applyNumberFormat="1" applyFont="1" applyFill="1" applyAlignment="1">
      <alignment horizontal="right" vertical="center"/>
    </xf>
    <xf numFmtId="167" fontId="15" fillId="4" borderId="0" xfId="2" applyNumberFormat="1" applyFont="1" applyFill="1" applyAlignment="1">
      <alignment horizontal="right" vertical="center"/>
    </xf>
    <xf numFmtId="1" fontId="15" fillId="4" borderId="0" xfId="2" applyNumberFormat="1" applyFont="1" applyFill="1" applyAlignment="1">
      <alignment horizontal="right" vertical="center"/>
    </xf>
    <xf numFmtId="0" fontId="15" fillId="0" borderId="10" xfId="2" applyFont="1" applyBorder="1" applyAlignment="1">
      <alignment vertical="center"/>
    </xf>
    <xf numFmtId="2" fontId="15" fillId="0" borderId="2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2" applyFont="1" applyAlignment="1">
      <alignment vertical="center"/>
    </xf>
    <xf numFmtId="165" fontId="15" fillId="0" borderId="0" xfId="2" applyNumberFormat="1" applyFont="1" applyAlignment="1">
      <alignment vertical="center"/>
    </xf>
    <xf numFmtId="1" fontId="15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9" fillId="0" borderId="1" xfId="2" applyFont="1" applyBorder="1" applyAlignment="1">
      <alignment horizontal="right" vertical="center"/>
    </xf>
    <xf numFmtId="165" fontId="15" fillId="11" borderId="2" xfId="2" applyNumberFormat="1" applyFont="1" applyFill="1" applyBorder="1" applyAlignment="1">
      <alignment vertical="center"/>
    </xf>
    <xf numFmtId="165" fontId="15" fillId="0" borderId="9" xfId="2" applyNumberFormat="1" applyFont="1" applyBorder="1" applyAlignment="1">
      <alignment vertical="center"/>
    </xf>
    <xf numFmtId="0" fontId="9" fillId="0" borderId="3" xfId="2" applyFont="1" applyBorder="1" applyAlignment="1">
      <alignment horizontal="right" vertical="center"/>
    </xf>
    <xf numFmtId="1" fontId="9" fillId="0" borderId="3" xfId="0" applyNumberFormat="1" applyFont="1" applyBorder="1" applyAlignment="1">
      <alignment horizontal="right" vertical="center"/>
    </xf>
    <xf numFmtId="1" fontId="9" fillId="0" borderId="0" xfId="2" applyNumberFormat="1" applyFont="1" applyAlignment="1">
      <alignment horizontal="right" vertical="center"/>
    </xf>
    <xf numFmtId="0" fontId="15" fillId="0" borderId="13" xfId="2" applyFont="1" applyBorder="1" applyAlignment="1">
      <alignment vertical="center"/>
    </xf>
    <xf numFmtId="1" fontId="9" fillId="0" borderId="3" xfId="2" applyNumberFormat="1" applyFont="1" applyBorder="1" applyAlignment="1">
      <alignment horizontal="right" vertical="center"/>
    </xf>
    <xf numFmtId="1" fontId="9" fillId="0" borderId="8" xfId="1" applyNumberFormat="1" applyFont="1" applyFill="1" applyBorder="1" applyAlignment="1" applyProtection="1">
      <alignment horizontal="right" vertical="center"/>
    </xf>
    <xf numFmtId="165" fontId="15" fillId="0" borderId="1" xfId="2" applyNumberFormat="1" applyFont="1" applyBorder="1" applyAlignment="1">
      <alignment vertical="center"/>
    </xf>
    <xf numFmtId="1" fontId="9" fillId="0" borderId="6" xfId="2" applyNumberFormat="1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9" fillId="0" borderId="25" xfId="2" applyFont="1" applyBorder="1" applyAlignment="1">
      <alignment vertical="center"/>
    </xf>
    <xf numFmtId="165" fontId="15" fillId="0" borderId="3" xfId="2" applyNumberFormat="1" applyFont="1" applyBorder="1" applyAlignment="1">
      <alignment vertical="center"/>
    </xf>
    <xf numFmtId="1" fontId="9" fillId="0" borderId="13" xfId="2" applyNumberFormat="1" applyFont="1" applyBorder="1" applyAlignment="1">
      <alignment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5" fillId="0" borderId="8" xfId="2" applyFont="1" applyBorder="1" applyAlignment="1">
      <alignment vertical="center"/>
    </xf>
    <xf numFmtId="1" fontId="9" fillId="10" borderId="2" xfId="2" applyNumberFormat="1" applyFont="1" applyFill="1" applyBorder="1" applyAlignment="1">
      <alignment vertical="center"/>
    </xf>
    <xf numFmtId="1" fontId="9" fillId="10" borderId="8" xfId="1" applyNumberFormat="1" applyFont="1" applyFill="1" applyBorder="1" applyAlignment="1">
      <alignment horizontal="right" vertical="center"/>
    </xf>
    <xf numFmtId="1" fontId="9" fillId="0" borderId="8" xfId="0" applyNumberFormat="1" applyFont="1" applyBorder="1" applyAlignment="1">
      <alignment vertical="center"/>
    </xf>
    <xf numFmtId="0" fontId="9" fillId="10" borderId="11" xfId="2" applyFont="1" applyFill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5" fillId="0" borderId="11" xfId="2" applyFont="1" applyBorder="1" applyAlignment="1">
      <alignment vertical="center"/>
    </xf>
    <xf numFmtId="0" fontId="8" fillId="3" borderId="12" xfId="2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vertical="center"/>
    </xf>
    <xf numFmtId="1" fontId="8" fillId="3" borderId="8" xfId="2" applyNumberFormat="1" applyFont="1" applyFill="1" applyBorder="1" applyAlignment="1">
      <alignment vertical="center"/>
    </xf>
    <xf numFmtId="0" fontId="23" fillId="0" borderId="0" xfId="2" applyFont="1" applyAlignment="1">
      <alignment vertical="center"/>
    </xf>
    <xf numFmtId="2" fontId="17" fillId="0" borderId="0" xfId="2" applyNumberFormat="1" applyFont="1" applyAlignment="1">
      <alignment vertical="center"/>
    </xf>
    <xf numFmtId="0" fontId="8" fillId="3" borderId="8" xfId="2" applyFont="1" applyFill="1" applyBorder="1" applyAlignment="1">
      <alignment vertical="center"/>
    </xf>
    <xf numFmtId="2" fontId="8" fillId="3" borderId="8" xfId="2" applyNumberFormat="1" applyFont="1" applyFill="1" applyBorder="1" applyAlignment="1">
      <alignment vertical="center"/>
    </xf>
    <xf numFmtId="0" fontId="27" fillId="0" borderId="0" xfId="2" applyFont="1" applyAlignment="1">
      <alignment vertical="center"/>
    </xf>
    <xf numFmtId="1" fontId="18" fillId="3" borderId="8" xfId="2" applyNumberFormat="1" applyFont="1" applyFill="1" applyBorder="1" applyAlignment="1">
      <alignment vertical="center"/>
    </xf>
    <xf numFmtId="2" fontId="18" fillId="3" borderId="8" xfId="2" applyNumberFormat="1" applyFont="1" applyFill="1" applyBorder="1" applyAlignment="1">
      <alignment vertical="center"/>
    </xf>
    <xf numFmtId="2" fontId="9" fillId="0" borderId="11" xfId="2" applyNumberFormat="1" applyFont="1" applyBorder="1" applyAlignment="1">
      <alignment vertical="center" wrapText="1"/>
    </xf>
    <xf numFmtId="2" fontId="8" fillId="3" borderId="12" xfId="2" applyNumberFormat="1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horizontal="right" vertical="center"/>
    </xf>
    <xf numFmtId="1" fontId="8" fillId="3" borderId="26" xfId="2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73" fillId="0" borderId="2" xfId="0" applyFont="1" applyBorder="1" applyAlignment="1">
      <alignment vertical="center"/>
    </xf>
    <xf numFmtId="1" fontId="78" fillId="20" borderId="8" xfId="2" applyNumberFormat="1" applyFont="1" applyFill="1" applyBorder="1" applyAlignment="1">
      <alignment horizontal="center" vertical="center"/>
    </xf>
    <xf numFmtId="1" fontId="34" fillId="20" borderId="8" xfId="2" applyNumberFormat="1" applyFont="1" applyFill="1" applyBorder="1" applyAlignment="1">
      <alignment horizontal="center" vertical="center"/>
    </xf>
    <xf numFmtId="0" fontId="33" fillId="3" borderId="8" xfId="2" applyFont="1" applyFill="1" applyBorder="1" applyAlignment="1">
      <alignment vertical="center"/>
    </xf>
    <xf numFmtId="2" fontId="33" fillId="3" borderId="8" xfId="2" applyNumberFormat="1" applyFont="1" applyFill="1" applyBorder="1" applyAlignment="1">
      <alignment vertical="center"/>
    </xf>
    <xf numFmtId="1" fontId="33" fillId="3" borderId="8" xfId="2" applyNumberFormat="1" applyFont="1" applyFill="1" applyBorder="1" applyAlignment="1">
      <alignment vertical="center"/>
    </xf>
    <xf numFmtId="0" fontId="3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2" fontId="11" fillId="0" borderId="0" xfId="2" applyNumberFormat="1" applyFont="1" applyAlignment="1">
      <alignment vertical="center"/>
    </xf>
    <xf numFmtId="1" fontId="11" fillId="0" borderId="0" xfId="2" applyNumberFormat="1" applyFont="1" applyAlignment="1">
      <alignment vertical="center"/>
    </xf>
    <xf numFmtId="0" fontId="34" fillId="0" borderId="0" xfId="2" applyFont="1" applyAlignment="1">
      <alignment vertical="center"/>
    </xf>
    <xf numFmtId="0" fontId="33" fillId="3" borderId="2" xfId="2" applyFont="1" applyFill="1" applyBorder="1" applyAlignment="1">
      <alignment vertical="center"/>
    </xf>
    <xf numFmtId="0" fontId="39" fillId="0" borderId="0" xfId="2" applyFont="1" applyAlignment="1">
      <alignment vertical="center"/>
    </xf>
    <xf numFmtId="165" fontId="39" fillId="0" borderId="0" xfId="2" applyNumberFormat="1" applyFont="1" applyAlignment="1">
      <alignment vertical="center"/>
    </xf>
    <xf numFmtId="1" fontId="39" fillId="0" borderId="0" xfId="2" applyNumberFormat="1" applyFont="1" applyAlignment="1">
      <alignment vertical="center"/>
    </xf>
    <xf numFmtId="0" fontId="37" fillId="0" borderId="0" xfId="2" applyFont="1" applyAlignment="1">
      <alignment vertical="center"/>
    </xf>
    <xf numFmtId="0" fontId="39" fillId="0" borderId="0" xfId="2" applyFont="1" applyAlignment="1">
      <alignment horizontal="right" vertical="center"/>
    </xf>
    <xf numFmtId="0" fontId="33" fillId="21" borderId="8" xfId="2" applyFont="1" applyFill="1" applyBorder="1" applyAlignment="1">
      <alignment vertical="center"/>
    </xf>
    <xf numFmtId="1" fontId="33" fillId="21" borderId="8" xfId="2" applyNumberFormat="1" applyFont="1" applyFill="1" applyBorder="1" applyAlignment="1">
      <alignment vertical="center"/>
    </xf>
    <xf numFmtId="0" fontId="38" fillId="0" borderId="0" xfId="2" applyFont="1" applyAlignment="1">
      <alignment vertical="center"/>
    </xf>
    <xf numFmtId="0" fontId="33" fillId="3" borderId="12" xfId="2" applyFont="1" applyFill="1" applyBorder="1" applyAlignment="1">
      <alignment vertical="center"/>
    </xf>
    <xf numFmtId="2" fontId="33" fillId="3" borderId="12" xfId="2" applyNumberFormat="1" applyFont="1" applyFill="1" applyBorder="1" applyAlignment="1">
      <alignment vertical="center"/>
    </xf>
    <xf numFmtId="1" fontId="33" fillId="3" borderId="12" xfId="2" applyNumberFormat="1" applyFont="1" applyFill="1" applyBorder="1" applyAlignment="1">
      <alignment vertical="center"/>
    </xf>
    <xf numFmtId="0" fontId="38" fillId="0" borderId="2" xfId="0" applyFont="1" applyBorder="1" applyAlignment="1">
      <alignment vertical="center" wrapText="1"/>
    </xf>
    <xf numFmtId="0" fontId="33" fillId="3" borderId="30" xfId="2" applyFont="1" applyFill="1" applyBorder="1" applyAlignment="1">
      <alignment vertical="center"/>
    </xf>
    <xf numFmtId="0" fontId="35" fillId="4" borderId="5" xfId="2" applyFont="1" applyFill="1" applyBorder="1" applyAlignment="1">
      <alignment vertical="center"/>
    </xf>
    <xf numFmtId="0" fontId="32" fillId="0" borderId="0" xfId="2" applyFont="1" applyAlignment="1">
      <alignment vertical="center"/>
    </xf>
    <xf numFmtId="1" fontId="32" fillId="0" borderId="0" xfId="2" applyNumberFormat="1" applyFont="1" applyAlignment="1">
      <alignment vertical="center"/>
    </xf>
    <xf numFmtId="165" fontId="33" fillId="3" borderId="8" xfId="2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0" xfId="2" applyFont="1" applyAlignment="1">
      <alignment vertical="center"/>
    </xf>
    <xf numFmtId="0" fontId="12" fillId="4" borderId="16" xfId="2" applyFont="1" applyFill="1" applyBorder="1" applyAlignment="1">
      <alignment vertical="center"/>
    </xf>
    <xf numFmtId="1" fontId="12" fillId="4" borderId="16" xfId="2" applyNumberFormat="1" applyFont="1" applyFill="1" applyBorder="1" applyAlignment="1">
      <alignment vertical="center"/>
    </xf>
    <xf numFmtId="0" fontId="12" fillId="0" borderId="16" xfId="2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1" fontId="12" fillId="0" borderId="16" xfId="2" applyNumberFormat="1" applyFont="1" applyBorder="1" applyAlignment="1">
      <alignment vertical="center"/>
    </xf>
    <xf numFmtId="1" fontId="33" fillId="0" borderId="0" xfId="0" applyNumberFormat="1" applyFont="1"/>
    <xf numFmtId="0" fontId="34" fillId="0" borderId="0" xfId="0" applyFont="1" applyAlignment="1">
      <alignment horizontal="center" vertical="center"/>
    </xf>
    <xf numFmtId="0" fontId="79" fillId="0" borderId="0" xfId="0" applyFont="1"/>
    <xf numFmtId="1" fontId="62" fillId="3" borderId="11" xfId="2" applyNumberFormat="1" applyFont="1" applyFill="1" applyBorder="1" applyAlignment="1">
      <alignment horizontal="center" vertical="center"/>
    </xf>
    <xf numFmtId="0" fontId="64" fillId="4" borderId="3" xfId="2" applyFont="1" applyFill="1" applyBorder="1" applyAlignment="1">
      <alignment horizontal="right" vertical="center" wrapText="1"/>
    </xf>
    <xf numFmtId="0" fontId="64" fillId="4" borderId="3" xfId="2" applyFont="1" applyFill="1" applyBorder="1" applyAlignment="1">
      <alignment horizontal="left" vertical="center"/>
    </xf>
    <xf numFmtId="0" fontId="64" fillId="4" borderId="2" xfId="2" applyFont="1" applyFill="1" applyBorder="1" applyAlignment="1">
      <alignment horizontal="right" vertical="center"/>
    </xf>
    <xf numFmtId="2" fontId="64" fillId="0" borderId="2" xfId="2" applyNumberFormat="1" applyFont="1" applyBorder="1" applyAlignment="1">
      <alignment horizontal="right" vertical="center"/>
    </xf>
    <xf numFmtId="165" fontId="64" fillId="0" borderId="2" xfId="2" applyNumberFormat="1" applyFont="1" applyBorder="1" applyAlignment="1">
      <alignment horizontal="right" vertical="center"/>
    </xf>
    <xf numFmtId="0" fontId="62" fillId="3" borderId="2" xfId="2" applyFont="1" applyFill="1" applyBorder="1" applyAlignment="1">
      <alignment vertical="center"/>
    </xf>
    <xf numFmtId="1" fontId="8" fillId="3" borderId="15" xfId="2" applyNumberFormat="1" applyFont="1" applyFill="1" applyBorder="1" applyAlignment="1">
      <alignment horizontal="right" vertical="center"/>
    </xf>
    <xf numFmtId="0" fontId="8" fillId="3" borderId="15" xfId="2" applyFont="1" applyFill="1" applyBorder="1" applyAlignment="1">
      <alignment horizontal="right" vertical="center"/>
    </xf>
    <xf numFmtId="2" fontId="15" fillId="0" borderId="8" xfId="2" applyNumberFormat="1" applyFont="1" applyBorder="1"/>
    <xf numFmtId="2" fontId="15" fillId="0" borderId="8" xfId="2" applyNumberFormat="1" applyFont="1" applyBorder="1" applyAlignment="1">
      <alignment horizontal="left"/>
    </xf>
    <xf numFmtId="2" fontId="15" fillId="0" borderId="13" xfId="2" applyNumberFormat="1" applyFont="1" applyBorder="1"/>
    <xf numFmtId="0" fontId="61" fillId="3" borderId="2" xfId="2" applyFont="1" applyFill="1" applyBorder="1" applyAlignment="1">
      <alignment horizontal="center"/>
    </xf>
    <xf numFmtId="0" fontId="64" fillId="4" borderId="2" xfId="2" applyFont="1" applyFill="1" applyBorder="1" applyAlignment="1">
      <alignment horizontal="right" vertical="center" wrapText="1"/>
    </xf>
    <xf numFmtId="0" fontId="65" fillId="4" borderId="2" xfId="2" applyFont="1" applyFill="1" applyBorder="1" applyAlignment="1">
      <alignment horizontal="left" vertical="center"/>
    </xf>
    <xf numFmtId="2" fontId="64" fillId="0" borderId="2" xfId="2" applyNumberFormat="1" applyFont="1" applyBorder="1"/>
    <xf numFmtId="1" fontId="61" fillId="16" borderId="2" xfId="2" applyNumberFormat="1" applyFont="1" applyFill="1" applyBorder="1"/>
    <xf numFmtId="2" fontId="61" fillId="16" borderId="2" xfId="2" applyNumberFormat="1" applyFont="1" applyFill="1" applyBorder="1"/>
    <xf numFmtId="0" fontId="64" fillId="0" borderId="0" xfId="0" applyFont="1"/>
    <xf numFmtId="0" fontId="65" fillId="0" borderId="2" xfId="0" applyFont="1" applyBorder="1"/>
    <xf numFmtId="0" fontId="64" fillId="8" borderId="2" xfId="2" applyFont="1" applyFill="1" applyBorder="1"/>
    <xf numFmtId="2" fontId="64" fillId="8" borderId="2" xfId="2" applyNumberFormat="1" applyFont="1" applyFill="1" applyBorder="1"/>
    <xf numFmtId="0" fontId="64" fillId="8" borderId="2" xfId="2" applyFont="1" applyFill="1" applyBorder="1" applyAlignment="1">
      <alignment horizontal="right"/>
    </xf>
    <xf numFmtId="0" fontId="64" fillId="10" borderId="2" xfId="2" applyFont="1" applyFill="1" applyBorder="1"/>
    <xf numFmtId="2" fontId="64" fillId="10" borderId="2" xfId="2" applyNumberFormat="1" applyFont="1" applyFill="1" applyBorder="1"/>
    <xf numFmtId="0" fontId="64" fillId="10" borderId="2" xfId="2" applyFont="1" applyFill="1" applyBorder="1" applyAlignment="1">
      <alignment horizontal="right"/>
    </xf>
    <xf numFmtId="1" fontId="64" fillId="8" borderId="2" xfId="2" applyNumberFormat="1" applyFont="1" applyFill="1" applyBorder="1" applyAlignment="1">
      <alignment horizontal="right"/>
    </xf>
    <xf numFmtId="2" fontId="65" fillId="0" borderId="2" xfId="2" applyNumberFormat="1" applyFont="1" applyBorder="1" applyAlignment="1">
      <alignment horizontal="left"/>
    </xf>
    <xf numFmtId="165" fontId="61" fillId="16" borderId="8" xfId="2" applyNumberFormat="1" applyFont="1" applyFill="1" applyBorder="1" applyAlignment="1">
      <alignment horizontal="center"/>
    </xf>
    <xf numFmtId="0" fontId="61" fillId="16" borderId="8" xfId="2" applyFont="1" applyFill="1" applyBorder="1" applyAlignment="1">
      <alignment horizontal="center"/>
    </xf>
    <xf numFmtId="1" fontId="61" fillId="16" borderId="8" xfId="2" applyNumberFormat="1" applyFont="1" applyFill="1" applyBorder="1" applyAlignment="1">
      <alignment horizontal="center"/>
    </xf>
    <xf numFmtId="165" fontId="62" fillId="16" borderId="8" xfId="2" applyNumberFormat="1" applyFont="1" applyFill="1" applyBorder="1" applyAlignment="1">
      <alignment horizontal="center" vertical="center"/>
    </xf>
    <xf numFmtId="0" fontId="62" fillId="16" borderId="8" xfId="2" applyFont="1" applyFill="1" applyBorder="1" applyAlignment="1">
      <alignment horizontal="center" vertical="center"/>
    </xf>
    <xf numFmtId="0" fontId="61" fillId="3" borderId="14" xfId="2" applyFont="1" applyFill="1" applyBorder="1" applyAlignment="1">
      <alignment horizontal="right" vertical="center"/>
    </xf>
    <xf numFmtId="2" fontId="61" fillId="3" borderId="8" xfId="2" applyNumberFormat="1" applyFont="1" applyFill="1" applyBorder="1" applyAlignment="1">
      <alignment horizontal="right" vertical="center"/>
    </xf>
    <xf numFmtId="1" fontId="61" fillId="3" borderId="8" xfId="1" applyNumberFormat="1" applyFont="1" applyFill="1" applyBorder="1" applyAlignment="1" applyProtection="1">
      <alignment horizontal="center" vertical="center"/>
    </xf>
    <xf numFmtId="0" fontId="61" fillId="3" borderId="8" xfId="1" applyNumberFormat="1" applyFont="1" applyFill="1" applyBorder="1" applyAlignment="1" applyProtection="1">
      <alignment horizontal="right" vertical="center"/>
    </xf>
    <xf numFmtId="0" fontId="61" fillId="3" borderId="8" xfId="2" applyFont="1" applyFill="1" applyBorder="1" applyAlignment="1">
      <alignment horizontal="right" vertical="center"/>
    </xf>
    <xf numFmtId="2" fontId="64" fillId="0" borderId="8" xfId="2" applyNumberFormat="1" applyFont="1" applyBorder="1" applyAlignment="1">
      <alignment horizontal="right" vertical="center"/>
    </xf>
    <xf numFmtId="2" fontId="64" fillId="0" borderId="8" xfId="2" applyNumberFormat="1" applyFont="1" applyBorder="1" applyAlignment="1">
      <alignment vertical="center"/>
    </xf>
    <xf numFmtId="0" fontId="64" fillId="0" borderId="14" xfId="2" applyFont="1" applyBorder="1" applyAlignment="1">
      <alignment vertical="center"/>
    </xf>
    <xf numFmtId="2" fontId="61" fillId="3" borderId="8" xfId="2" applyNumberFormat="1" applyFont="1" applyFill="1" applyBorder="1" applyAlignment="1">
      <alignment horizontal="center" vertical="center" wrapText="1"/>
    </xf>
    <xf numFmtId="1" fontId="61" fillId="3" borderId="8" xfId="2" applyNumberFormat="1" applyFont="1" applyFill="1" applyBorder="1" applyAlignment="1">
      <alignment horizontal="center" vertical="center" wrapText="1"/>
    </xf>
    <xf numFmtId="0" fontId="62" fillId="3" borderId="8" xfId="2" applyFont="1" applyFill="1" applyBorder="1" applyAlignment="1">
      <alignment horizontal="center" vertical="center" wrapText="1"/>
    </xf>
    <xf numFmtId="2" fontId="62" fillId="3" borderId="8" xfId="2" applyNumberFormat="1" applyFont="1" applyFill="1" applyBorder="1" applyAlignment="1">
      <alignment horizontal="center" vertical="center"/>
    </xf>
    <xf numFmtId="0" fontId="62" fillId="3" borderId="8" xfId="2" applyFont="1" applyFill="1" applyBorder="1" applyAlignment="1">
      <alignment horizontal="center" vertical="center"/>
    </xf>
    <xf numFmtId="1" fontId="61" fillId="3" borderId="2" xfId="2" applyNumberFormat="1" applyFont="1" applyFill="1" applyBorder="1" applyAlignment="1">
      <alignment vertical="center"/>
    </xf>
    <xf numFmtId="0" fontId="64" fillId="4" borderId="2" xfId="2" applyFont="1" applyFill="1" applyBorder="1" applyAlignment="1">
      <alignment horizontal="center" vertical="center" wrapText="1"/>
    </xf>
    <xf numFmtId="0" fontId="64" fillId="4" borderId="2" xfId="2" applyFont="1" applyFill="1" applyBorder="1" applyAlignment="1">
      <alignment horizontal="left" vertical="center"/>
    </xf>
    <xf numFmtId="0" fontId="66" fillId="0" borderId="0" xfId="0" applyFont="1" applyAlignment="1">
      <alignment vertical="center"/>
    </xf>
    <xf numFmtId="0" fontId="64" fillId="0" borderId="8" xfId="2" applyFont="1" applyBorder="1" applyAlignment="1">
      <alignment vertical="center" wrapText="1"/>
    </xf>
    <xf numFmtId="165" fontId="64" fillId="0" borderId="2" xfId="2" applyNumberFormat="1" applyFont="1" applyBorder="1" applyAlignment="1">
      <alignment vertical="center"/>
    </xf>
    <xf numFmtId="0" fontId="8" fillId="16" borderId="24" xfId="2" applyFont="1" applyFill="1" applyBorder="1" applyAlignment="1">
      <alignment vertical="center"/>
    </xf>
    <xf numFmtId="1" fontId="20" fillId="0" borderId="0" xfId="0" applyNumberFormat="1" applyFont="1" applyAlignment="1">
      <alignment vertical="center"/>
    </xf>
    <xf numFmtId="165" fontId="8" fillId="16" borderId="8" xfId="2" applyNumberFormat="1" applyFont="1" applyFill="1" applyBorder="1" applyAlignment="1">
      <alignment vertical="center"/>
    </xf>
    <xf numFmtId="0" fontId="82" fillId="0" borderId="2" xfId="0" applyFont="1" applyBorder="1" applyAlignment="1">
      <alignment horizontal="center" vertical="center"/>
    </xf>
    <xf numFmtId="0" fontId="82" fillId="0" borderId="2" xfId="0" applyFont="1" applyBorder="1"/>
    <xf numFmtId="1" fontId="83" fillId="0" borderId="2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 wrapText="1"/>
    </xf>
    <xf numFmtId="0" fontId="87" fillId="0" borderId="2" xfId="3" applyFont="1" applyBorder="1"/>
    <xf numFmtId="0" fontId="20" fillId="0" borderId="2" xfId="0" applyFont="1" applyBorder="1" applyAlignment="1">
      <alignment vertical="center" wrapText="1"/>
    </xf>
    <xf numFmtId="1" fontId="20" fillId="0" borderId="2" xfId="0" applyNumberFormat="1" applyFont="1" applyBorder="1" applyAlignment="1">
      <alignment vertical="center" wrapText="1"/>
    </xf>
    <xf numFmtId="0" fontId="87" fillId="0" borderId="2" xfId="3" applyFont="1" applyBorder="1" applyAlignment="1">
      <alignment horizontal="left"/>
    </xf>
    <xf numFmtId="0" fontId="88" fillId="0" borderId="2" xfId="0" applyFont="1" applyBorder="1"/>
    <xf numFmtId="0" fontId="9" fillId="0" borderId="12" xfId="2" applyFont="1" applyBorder="1" applyAlignment="1">
      <alignment horizontal="right" vertical="center" wrapText="1"/>
    </xf>
    <xf numFmtId="2" fontId="9" fillId="0" borderId="12" xfId="2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left" vertical="center" wrapText="1"/>
    </xf>
    <xf numFmtId="0" fontId="15" fillId="4" borderId="2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vertical="center" wrapText="1"/>
    </xf>
    <xf numFmtId="1" fontId="9" fillId="0" borderId="8" xfId="2" applyNumberFormat="1" applyFont="1" applyBorder="1" applyAlignment="1">
      <alignment horizontal="center" vertical="center"/>
    </xf>
    <xf numFmtId="0" fontId="89" fillId="0" borderId="8" xfId="2" applyFont="1" applyBorder="1" applyAlignment="1">
      <alignment vertical="center"/>
    </xf>
    <xf numFmtId="1" fontId="89" fillId="0" borderId="8" xfId="2" applyNumberFormat="1" applyFont="1" applyBorder="1" applyAlignment="1">
      <alignment horizontal="right" vertical="center"/>
    </xf>
    <xf numFmtId="0" fontId="9" fillId="0" borderId="16" xfId="2" applyFont="1" applyBorder="1" applyAlignment="1">
      <alignment vertical="center" wrapText="1"/>
    </xf>
    <xf numFmtId="0" fontId="15" fillId="0" borderId="1" xfId="2" applyFont="1" applyBorder="1" applyAlignment="1">
      <alignment horizontal="left" vertical="center"/>
    </xf>
    <xf numFmtId="0" fontId="9" fillId="4" borderId="2" xfId="2" applyFont="1" applyFill="1" applyBorder="1" applyAlignment="1">
      <alignment vertical="center"/>
    </xf>
    <xf numFmtId="0" fontId="9" fillId="4" borderId="2" xfId="2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1" fontId="9" fillId="4" borderId="2" xfId="0" applyNumberFormat="1" applyFont="1" applyFill="1" applyBorder="1" applyAlignment="1">
      <alignment horizontal="right" vertical="center" wrapText="1"/>
    </xf>
    <xf numFmtId="0" fontId="9" fillId="4" borderId="2" xfId="2" applyFont="1" applyFill="1" applyBorder="1" applyAlignment="1">
      <alignment horizontal="right" vertical="center" wrapText="1"/>
    </xf>
    <xf numFmtId="1" fontId="9" fillId="4" borderId="2" xfId="2" applyNumberFormat="1" applyFont="1" applyFill="1" applyBorder="1" applyAlignment="1">
      <alignment horizontal="right" vertical="center"/>
    </xf>
    <xf numFmtId="0" fontId="9" fillId="0" borderId="17" xfId="2" applyFont="1" applyBorder="1" applyAlignment="1">
      <alignment horizontal="right" vertical="center"/>
    </xf>
    <xf numFmtId="0" fontId="15" fillId="0" borderId="1" xfId="2" applyFont="1" applyBorder="1"/>
    <xf numFmtId="0" fontId="64" fillId="0" borderId="11" xfId="2" applyFont="1" applyBorder="1"/>
    <xf numFmtId="165" fontId="15" fillId="0" borderId="9" xfId="2" applyNumberFormat="1" applyFont="1" applyBorder="1"/>
    <xf numFmtId="0" fontId="90" fillId="0" borderId="0" xfId="0" applyFont="1" applyAlignment="1">
      <alignment horizontal="right"/>
    </xf>
    <xf numFmtId="1" fontId="8" fillId="16" borderId="12" xfId="2" applyNumberFormat="1" applyFont="1" applyFill="1" applyBorder="1" applyAlignment="1">
      <alignment vertical="center"/>
    </xf>
    <xf numFmtId="1" fontId="9" fillId="8" borderId="2" xfId="2" applyNumberFormat="1" applyFont="1" applyFill="1" applyBorder="1" applyAlignment="1">
      <alignment vertical="center"/>
    </xf>
    <xf numFmtId="0" fontId="9" fillId="0" borderId="9" xfId="2" applyFont="1" applyBorder="1" applyAlignment="1">
      <alignment vertical="center"/>
    </xf>
    <xf numFmtId="0" fontId="15" fillId="0" borderId="10" xfId="2" applyFont="1" applyBorder="1" applyAlignment="1">
      <alignment horizontal="left" vertical="center"/>
    </xf>
    <xf numFmtId="0" fontId="9" fillId="0" borderId="9" xfId="2" applyFont="1" applyBorder="1"/>
    <xf numFmtId="0" fontId="15" fillId="0" borderId="10" xfId="2" applyFont="1" applyBorder="1" applyAlignment="1">
      <alignment horizontal="left"/>
    </xf>
    <xf numFmtId="1" fontId="17" fillId="0" borderId="2" xfId="2" applyNumberFormat="1" applyFont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 wrapText="1"/>
    </xf>
    <xf numFmtId="0" fontId="8" fillId="4" borderId="0" xfId="2" applyFont="1" applyFill="1" applyAlignment="1">
      <alignment horizontal="center" vertical="center"/>
    </xf>
    <xf numFmtId="0" fontId="8" fillId="3" borderId="1" xfId="2" applyFont="1" applyFill="1" applyBorder="1" applyAlignment="1">
      <alignment horizontal="right" vertical="center"/>
    </xf>
    <xf numFmtId="2" fontId="8" fillId="3" borderId="1" xfId="2" applyNumberFormat="1" applyFont="1" applyFill="1" applyBorder="1" applyAlignment="1">
      <alignment horizontal="right" vertical="center"/>
    </xf>
    <xf numFmtId="1" fontId="8" fillId="3" borderId="1" xfId="2" applyNumberFormat="1" applyFont="1" applyFill="1" applyBorder="1" applyAlignment="1">
      <alignment horizontal="right" vertical="center"/>
    </xf>
    <xf numFmtId="0" fontId="8" fillId="4" borderId="5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right" vertical="center"/>
    </xf>
    <xf numFmtId="2" fontId="8" fillId="4" borderId="5" xfId="2" applyNumberFormat="1" applyFont="1" applyFill="1" applyBorder="1" applyAlignment="1">
      <alignment horizontal="right" vertical="center"/>
    </xf>
    <xf numFmtId="1" fontId="8" fillId="4" borderId="5" xfId="2" applyNumberFormat="1" applyFont="1" applyFill="1" applyBorder="1" applyAlignment="1">
      <alignment horizontal="right" vertical="center"/>
    </xf>
    <xf numFmtId="0" fontId="68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0" fontId="38" fillId="0" borderId="14" xfId="2" applyFont="1" applyBorder="1" applyAlignment="1">
      <alignment vertical="center" wrapText="1"/>
    </xf>
    <xf numFmtId="2" fontId="34" fillId="0" borderId="0" xfId="0" applyNumberFormat="1" applyFont="1" applyAlignment="1">
      <alignment vertical="center"/>
    </xf>
    <xf numFmtId="1" fontId="34" fillId="3" borderId="0" xfId="0" applyNumberFormat="1" applyFont="1" applyFill="1"/>
    <xf numFmtId="0" fontId="34" fillId="3" borderId="0" xfId="0" applyFont="1" applyFill="1" applyAlignment="1">
      <alignment vertical="center"/>
    </xf>
    <xf numFmtId="0" fontId="65" fillId="0" borderId="0" xfId="2" applyFont="1" applyAlignment="1">
      <alignment vertical="center"/>
    </xf>
    <xf numFmtId="0" fontId="34" fillId="3" borderId="0" xfId="0" applyFont="1" applyFill="1"/>
    <xf numFmtId="1" fontId="33" fillId="3" borderId="0" xfId="0" applyNumberFormat="1" applyFont="1" applyFill="1"/>
    <xf numFmtId="0" fontId="33" fillId="3" borderId="0" xfId="0" applyFont="1" applyFill="1"/>
    <xf numFmtId="0" fontId="33" fillId="14" borderId="0" xfId="0" applyFont="1" applyFill="1"/>
    <xf numFmtId="0" fontId="34" fillId="4" borderId="0" xfId="0" applyFont="1" applyFill="1" applyAlignment="1">
      <alignment vertical="center"/>
    </xf>
    <xf numFmtId="1" fontId="34" fillId="4" borderId="0" xfId="0" applyNumberFormat="1" applyFont="1" applyFill="1" applyAlignment="1">
      <alignment vertical="center"/>
    </xf>
    <xf numFmtId="0" fontId="33" fillId="18" borderId="0" xfId="2" applyFont="1" applyFill="1" applyAlignment="1">
      <alignment horizontal="center" vertical="center"/>
    </xf>
    <xf numFmtId="0" fontId="33" fillId="18" borderId="0" xfId="2" applyFont="1" applyFill="1" applyAlignment="1">
      <alignment vertical="center"/>
    </xf>
    <xf numFmtId="2" fontId="33" fillId="18" borderId="0" xfId="2" applyNumberFormat="1" applyFont="1" applyFill="1" applyAlignment="1">
      <alignment vertical="center"/>
    </xf>
    <xf numFmtId="1" fontId="33" fillId="18" borderId="0" xfId="2" applyNumberFormat="1" applyFont="1" applyFill="1" applyAlignment="1">
      <alignment vertical="center"/>
    </xf>
    <xf numFmtId="0" fontId="33" fillId="21" borderId="24" xfId="2" applyFont="1" applyFill="1" applyBorder="1" applyAlignment="1">
      <alignment vertical="center"/>
    </xf>
    <xf numFmtId="0" fontId="38" fillId="4" borderId="12" xfId="2" applyFont="1" applyFill="1" applyBorder="1" applyAlignment="1">
      <alignment horizontal="left" vertical="center"/>
    </xf>
    <xf numFmtId="0" fontId="38" fillId="4" borderId="12" xfId="2" applyFont="1" applyFill="1" applyBorder="1" applyAlignment="1">
      <alignment horizontal="right" vertical="center"/>
    </xf>
    <xf numFmtId="0" fontId="34" fillId="3" borderId="24" xfId="2" applyFont="1" applyFill="1" applyBorder="1" applyAlignment="1">
      <alignment horizontal="center" vertical="center"/>
    </xf>
    <xf numFmtId="1" fontId="33" fillId="14" borderId="0" xfId="0" applyNumberFormat="1" applyFont="1" applyFill="1"/>
    <xf numFmtId="165" fontId="9" fillId="0" borderId="2" xfId="2" applyNumberFormat="1" applyFont="1" applyBorder="1" applyAlignment="1">
      <alignment vertical="center" wrapText="1"/>
    </xf>
    <xf numFmtId="165" fontId="9" fillId="0" borderId="2" xfId="0" applyNumberFormat="1" applyFont="1" applyBorder="1" applyAlignment="1">
      <alignment vertical="center" wrapText="1"/>
    </xf>
    <xf numFmtId="165" fontId="9" fillId="0" borderId="8" xfId="2" applyNumberFormat="1" applyFont="1" applyBorder="1" applyAlignment="1">
      <alignment horizontal="right" vertical="center" wrapText="1"/>
    </xf>
    <xf numFmtId="2" fontId="15" fillId="0" borderId="8" xfId="2" applyNumberFormat="1" applyFont="1" applyBorder="1" applyAlignment="1">
      <alignment vertical="center"/>
    </xf>
    <xf numFmtId="2" fontId="15" fillId="0" borderId="8" xfId="2" applyNumberFormat="1" applyFont="1" applyBorder="1" applyAlignment="1">
      <alignment horizontal="left" vertical="center"/>
    </xf>
    <xf numFmtId="1" fontId="25" fillId="0" borderId="2" xfId="3" applyNumberFormat="1" applyFont="1" applyBorder="1" applyAlignment="1">
      <alignment horizontal="center" vertical="center"/>
    </xf>
    <xf numFmtId="0" fontId="67" fillId="0" borderId="0" xfId="0" applyFont="1"/>
    <xf numFmtId="1" fontId="67" fillId="0" borderId="0" xfId="0" applyNumberFormat="1" applyFont="1"/>
    <xf numFmtId="0" fontId="71" fillId="4" borderId="0" xfId="2" applyFont="1" applyFill="1" applyAlignment="1">
      <alignment horizontal="center" vertical="center"/>
    </xf>
    <xf numFmtId="0" fontId="34" fillId="4" borderId="0" xfId="0" applyFont="1" applyFill="1"/>
    <xf numFmtId="0" fontId="34" fillId="0" borderId="0" xfId="0" applyFont="1" applyAlignment="1">
      <alignment horizontal="right"/>
    </xf>
    <xf numFmtId="0" fontId="9" fillId="4" borderId="8" xfId="2" applyFont="1" applyFill="1" applyBorder="1" applyAlignment="1">
      <alignment horizontal="right" vertical="center" wrapText="1"/>
    </xf>
    <xf numFmtId="0" fontId="9" fillId="4" borderId="12" xfId="2" applyFont="1" applyFill="1" applyBorder="1" applyAlignment="1">
      <alignment horizontal="left" vertical="center"/>
    </xf>
    <xf numFmtId="1" fontId="9" fillId="0" borderId="2" xfId="2" applyNumberFormat="1" applyFont="1" applyBorder="1" applyAlignment="1">
      <alignment horizontal="right" vertical="center" wrapText="1"/>
    </xf>
    <xf numFmtId="0" fontId="9" fillId="4" borderId="3" xfId="2" applyFont="1" applyFill="1" applyBorder="1" applyAlignment="1">
      <alignment horizontal="left" vertical="center"/>
    </xf>
    <xf numFmtId="0" fontId="21" fillId="4" borderId="0" xfId="2" applyFont="1" applyFill="1" applyAlignment="1">
      <alignment horizontal="center" vertical="center"/>
    </xf>
    <xf numFmtId="0" fontId="38" fillId="4" borderId="12" xfId="2" applyFont="1" applyFill="1" applyBorder="1" applyAlignment="1">
      <alignment horizontal="right" vertical="center" wrapText="1"/>
    </xf>
    <xf numFmtId="0" fontId="34" fillId="14" borderId="0" xfId="0" applyFont="1" applyFill="1"/>
    <xf numFmtId="2" fontId="61" fillId="3" borderId="2" xfId="2" applyNumberFormat="1" applyFont="1" applyFill="1" applyBorder="1" applyAlignment="1">
      <alignment horizontal="right" vertical="center"/>
    </xf>
    <xf numFmtId="2" fontId="61" fillId="3" borderId="8" xfId="1" applyNumberFormat="1" applyFont="1" applyFill="1" applyBorder="1" applyAlignment="1" applyProtection="1">
      <alignment horizontal="center" vertical="center"/>
    </xf>
    <xf numFmtId="2" fontId="17" fillId="0" borderId="2" xfId="2" applyNumberFormat="1" applyFont="1" applyBorder="1"/>
    <xf numFmtId="2" fontId="38" fillId="0" borderId="8" xfId="2" applyNumberFormat="1" applyFont="1" applyBorder="1" applyAlignment="1">
      <alignment horizontal="right" vertical="center"/>
    </xf>
    <xf numFmtId="1" fontId="38" fillId="0" borderId="8" xfId="2" applyNumberFormat="1" applyFont="1" applyBorder="1" applyAlignment="1">
      <alignment horizontal="right" vertical="center"/>
    </xf>
    <xf numFmtId="1" fontId="38" fillId="0" borderId="8" xfId="2" applyNumberFormat="1" applyFont="1" applyBorder="1" applyAlignment="1">
      <alignment vertical="center"/>
    </xf>
    <xf numFmtId="0" fontId="14" fillId="4" borderId="2" xfId="2" applyFont="1" applyFill="1" applyBorder="1" applyAlignment="1">
      <alignment vertical="center"/>
    </xf>
    <xf numFmtId="0" fontId="14" fillId="4" borderId="2" xfId="2" applyFont="1" applyFill="1" applyBorder="1" applyAlignment="1">
      <alignment vertical="center" wrapText="1"/>
    </xf>
    <xf numFmtId="0" fontId="89" fillId="0" borderId="8" xfId="2" applyFont="1" applyBorder="1" applyAlignment="1">
      <alignment horizontal="right" vertical="center"/>
    </xf>
    <xf numFmtId="0" fontId="70" fillId="14" borderId="2" xfId="2" applyFont="1" applyFill="1" applyBorder="1" applyAlignment="1">
      <alignment horizontal="center" vertical="center"/>
    </xf>
    <xf numFmtId="0" fontId="18" fillId="14" borderId="2" xfId="2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vertical="center"/>
    </xf>
    <xf numFmtId="2" fontId="69" fillId="14" borderId="2" xfId="0" applyNumberFormat="1" applyFont="1" applyFill="1" applyBorder="1" applyAlignment="1">
      <alignment vertical="center"/>
    </xf>
    <xf numFmtId="0" fontId="42" fillId="14" borderId="5" xfId="0" applyFont="1" applyFill="1" applyBorder="1" applyAlignment="1">
      <alignment vertical="center"/>
    </xf>
    <xf numFmtId="0" fontId="5" fillId="14" borderId="5" xfId="0" applyFont="1" applyFill="1" applyBorder="1" applyAlignment="1">
      <alignment vertical="center"/>
    </xf>
    <xf numFmtId="0" fontId="11" fillId="14" borderId="0" xfId="0" applyFont="1" applyFill="1" applyAlignment="1">
      <alignment horizontal="center" vertical="center"/>
    </xf>
    <xf numFmtId="2" fontId="11" fillId="14" borderId="0" xfId="0" applyNumberFormat="1" applyFont="1" applyFill="1" applyAlignment="1">
      <alignment vertical="center"/>
    </xf>
    <xf numFmtId="0" fontId="11" fillId="14" borderId="0" xfId="0" applyFont="1" applyFill="1" applyAlignment="1">
      <alignment vertical="center"/>
    </xf>
    <xf numFmtId="0" fontId="42" fillId="14" borderId="4" xfId="0" applyFont="1" applyFill="1" applyBorder="1"/>
    <xf numFmtId="0" fontId="5" fillId="14" borderId="4" xfId="0" applyFont="1" applyFill="1" applyBorder="1"/>
    <xf numFmtId="0" fontId="0" fillId="14" borderId="0" xfId="0" applyFill="1"/>
    <xf numFmtId="1" fontId="92" fillId="0" borderId="0" xfId="0" applyNumberFormat="1" applyFont="1"/>
    <xf numFmtId="0" fontId="64" fillId="0" borderId="12" xfId="2" applyFont="1" applyBorder="1" applyAlignment="1">
      <alignment horizontal="right"/>
    </xf>
    <xf numFmtId="0" fontId="64" fillId="0" borderId="16" xfId="2" applyFont="1" applyBorder="1" applyAlignment="1">
      <alignment horizontal="right"/>
    </xf>
    <xf numFmtId="0" fontId="64" fillId="0" borderId="16" xfId="2" applyFont="1" applyBorder="1"/>
    <xf numFmtId="0" fontId="15" fillId="4" borderId="2" xfId="2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165" fontId="34" fillId="0" borderId="0" xfId="0" applyNumberFormat="1" applyFont="1"/>
    <xf numFmtId="2" fontId="8" fillId="16" borderId="8" xfId="2" applyNumberFormat="1" applyFont="1" applyFill="1" applyBorder="1" applyAlignment="1">
      <alignment vertical="center"/>
    </xf>
    <xf numFmtId="0" fontId="52" fillId="0" borderId="2" xfId="0" applyFont="1" applyBorder="1" applyAlignment="1">
      <alignment horizontal="right" vertical="top" wrapText="1"/>
    </xf>
    <xf numFmtId="0" fontId="95" fillId="0" borderId="2" xfId="0" applyFont="1" applyBorder="1" applyAlignment="1">
      <alignment horizontal="center"/>
    </xf>
    <xf numFmtId="0" fontId="96" fillId="0" borderId="2" xfId="3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49" fillId="0" borderId="2" xfId="0" applyFont="1" applyBorder="1" applyAlignment="1">
      <alignment horizontal="right" vertical="top" wrapText="1"/>
    </xf>
    <xf numFmtId="0" fontId="49" fillId="0" borderId="9" xfId="0" applyFont="1" applyBorder="1" applyAlignment="1">
      <alignment vertical="top" wrapText="1"/>
    </xf>
    <xf numFmtId="0" fontId="70" fillId="0" borderId="4" xfId="0" applyFont="1" applyBorder="1" applyAlignment="1">
      <alignment horizontal="center" vertical="top" wrapText="1"/>
    </xf>
    <xf numFmtId="0" fontId="70" fillId="0" borderId="10" xfId="0" applyFont="1" applyBorder="1" applyAlignment="1">
      <alignment horizontal="center" vertical="top" wrapText="1"/>
    </xf>
    <xf numFmtId="0" fontId="91" fillId="0" borderId="2" xfId="0" applyFont="1" applyBorder="1" applyAlignment="1">
      <alignment horizontal="right" vertical="top" wrapText="1"/>
    </xf>
    <xf numFmtId="0" fontId="91" fillId="0" borderId="2" xfId="3" applyFont="1" applyBorder="1"/>
    <xf numFmtId="0" fontId="49" fillId="0" borderId="2" xfId="0" applyFont="1" applyBorder="1" applyAlignment="1">
      <alignment horizontal="center" vertical="top" wrapText="1"/>
    </xf>
    <xf numFmtId="0" fontId="70" fillId="0" borderId="2" xfId="0" applyFont="1" applyBorder="1" applyAlignment="1">
      <alignment horizontal="center" vertical="top" wrapText="1"/>
    </xf>
    <xf numFmtId="0" fontId="49" fillId="0" borderId="2" xfId="3" applyFont="1" applyBorder="1" applyAlignment="1">
      <alignment horizontal="right"/>
    </xf>
    <xf numFmtId="0" fontId="70" fillId="0" borderId="2" xfId="3" applyFont="1" applyBorder="1" applyAlignment="1">
      <alignment horizontal="center"/>
    </xf>
    <xf numFmtId="0" fontId="52" fillId="0" borderId="2" xfId="0" applyFont="1" applyBorder="1" applyAlignment="1">
      <alignment horizontal="right" vertical="center" wrapText="1"/>
    </xf>
    <xf numFmtId="0" fontId="52" fillId="0" borderId="2" xfId="3" applyFont="1" applyBorder="1" applyAlignment="1">
      <alignment vertical="center"/>
    </xf>
    <xf numFmtId="0" fontId="96" fillId="0" borderId="2" xfId="3" applyFont="1" applyBorder="1" applyAlignment="1">
      <alignment horizontal="center" vertical="center"/>
    </xf>
    <xf numFmtId="0" fontId="49" fillId="0" borderId="2" xfId="0" applyFont="1" applyBorder="1" applyAlignment="1">
      <alignment horizontal="right"/>
    </xf>
    <xf numFmtId="0" fontId="52" fillId="0" borderId="2" xfId="3" applyFont="1" applyBorder="1" applyAlignment="1">
      <alignment horizontal="left" vertical="center"/>
    </xf>
    <xf numFmtId="0" fontId="95" fillId="3" borderId="2" xfId="0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/>
    </xf>
    <xf numFmtId="0" fontId="96" fillId="3" borderId="2" xfId="0" applyFont="1" applyFill="1" applyBorder="1" applyAlignment="1">
      <alignment horizontal="center"/>
    </xf>
    <xf numFmtId="0" fontId="70" fillId="3" borderId="4" xfId="0" applyFont="1" applyFill="1" applyBorder="1" applyAlignment="1">
      <alignment horizontal="center" vertical="top" wrapText="1"/>
    </xf>
    <xf numFmtId="0" fontId="70" fillId="3" borderId="10" xfId="0" applyFont="1" applyFill="1" applyBorder="1" applyAlignment="1">
      <alignment horizontal="center" vertical="top" wrapText="1"/>
    </xf>
    <xf numFmtId="0" fontId="70" fillId="3" borderId="2" xfId="0" applyFont="1" applyFill="1" applyBorder="1" applyAlignment="1">
      <alignment horizontal="center" vertical="top" wrapText="1"/>
    </xf>
    <xf numFmtId="0" fontId="70" fillId="3" borderId="2" xfId="3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 vertical="center"/>
    </xf>
    <xf numFmtId="0" fontId="97" fillId="3" borderId="2" xfId="0" applyFont="1" applyFill="1" applyBorder="1" applyAlignment="1">
      <alignment horizontal="center"/>
    </xf>
    <xf numFmtId="0" fontId="85" fillId="3" borderId="2" xfId="3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top"/>
    </xf>
    <xf numFmtId="0" fontId="9" fillId="0" borderId="20" xfId="2" applyFont="1" applyBorder="1" applyAlignment="1">
      <alignment horizontal="right" vertical="center"/>
    </xf>
    <xf numFmtId="0" fontId="8" fillId="16" borderId="21" xfId="2" applyFont="1" applyFill="1" applyBorder="1" applyAlignment="1">
      <alignment vertical="center"/>
    </xf>
    <xf numFmtId="0" fontId="9" fillId="0" borderId="14" xfId="2" applyFont="1" applyBorder="1" applyAlignment="1">
      <alignment horizontal="right" vertical="center" wrapText="1"/>
    </xf>
    <xf numFmtId="2" fontId="11" fillId="4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" fontId="9" fillId="0" borderId="2" xfId="2" applyNumberFormat="1" applyFont="1" applyBorder="1" applyAlignment="1">
      <alignment vertical="center" wrapText="1"/>
    </xf>
    <xf numFmtId="0" fontId="8" fillId="3" borderId="11" xfId="2" applyFont="1" applyFill="1" applyBorder="1" applyAlignment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/>
    </xf>
    <xf numFmtId="168" fontId="27" fillId="0" borderId="0" xfId="2" applyNumberFormat="1" applyFont="1" applyAlignment="1">
      <alignment horizontal="right" vertical="center"/>
    </xf>
    <xf numFmtId="0" fontId="20" fillId="0" borderId="1" xfId="0" applyFont="1" applyBorder="1" applyAlignment="1">
      <alignment vertical="top"/>
    </xf>
    <xf numFmtId="0" fontId="9" fillId="0" borderId="1" xfId="2" applyFont="1" applyBorder="1" applyAlignment="1">
      <alignment horizontal="right" vertical="center" wrapText="1"/>
    </xf>
    <xf numFmtId="0" fontId="64" fillId="0" borderId="0" xfId="0" applyFont="1" applyAlignment="1">
      <alignment vertical="center"/>
    </xf>
    <xf numFmtId="2" fontId="14" fillId="0" borderId="0" xfId="0" applyNumberFormat="1" applyFont="1"/>
    <xf numFmtId="0" fontId="9" fillId="0" borderId="16" xfId="2" applyFont="1" applyBorder="1"/>
    <xf numFmtId="1" fontId="16" fillId="0" borderId="0" xfId="0" applyNumberFormat="1" applyFont="1" applyAlignment="1">
      <alignment vertical="center"/>
    </xf>
    <xf numFmtId="2" fontId="0" fillId="0" borderId="0" xfId="0" applyNumberFormat="1"/>
    <xf numFmtId="0" fontId="100" fillId="4" borderId="0" xfId="0" applyFont="1" applyFill="1" applyAlignment="1">
      <alignment vertical="center"/>
    </xf>
    <xf numFmtId="0" fontId="100" fillId="0" borderId="0" xfId="0" applyFont="1" applyAlignment="1">
      <alignment vertical="center"/>
    </xf>
    <xf numFmtId="0" fontId="15" fillId="0" borderId="14" xfId="2" applyFont="1" applyBorder="1" applyAlignment="1">
      <alignment vertical="center"/>
    </xf>
    <xf numFmtId="2" fontId="12" fillId="0" borderId="0" xfId="0" applyNumberFormat="1" applyFont="1"/>
    <xf numFmtId="1" fontId="38" fillId="0" borderId="0" xfId="0" applyNumberFormat="1" applyFont="1"/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horizontal="center" vertical="center"/>
    </xf>
    <xf numFmtId="2" fontId="69" fillId="14" borderId="2" xfId="0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2" fontId="17" fillId="4" borderId="2" xfId="2" applyNumberFormat="1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69" fillId="14" borderId="2" xfId="0" applyNumberFormat="1" applyFont="1" applyFill="1" applyBorder="1" applyAlignment="1">
      <alignment horizontal="center" vertical="center"/>
    </xf>
    <xf numFmtId="0" fontId="79" fillId="0" borderId="11" xfId="2" applyFont="1" applyBorder="1" applyAlignment="1">
      <alignment horizontal="center" vertical="center"/>
    </xf>
    <xf numFmtId="2" fontId="81" fillId="0" borderId="22" xfId="2" applyNumberFormat="1" applyFont="1" applyBorder="1" applyAlignment="1">
      <alignment horizontal="center" vertical="center"/>
    </xf>
    <xf numFmtId="2" fontId="79" fillId="0" borderId="11" xfId="2" applyNumberFormat="1" applyFont="1" applyBorder="1" applyAlignment="1">
      <alignment horizontal="center" vertical="center"/>
    </xf>
    <xf numFmtId="0" fontId="79" fillId="0" borderId="8" xfId="2" applyFont="1" applyBorder="1" applyAlignment="1">
      <alignment horizontal="center" vertical="center"/>
    </xf>
    <xf numFmtId="2" fontId="79" fillId="0" borderId="8" xfId="2" applyNumberFormat="1" applyFont="1" applyBorder="1" applyAlignment="1">
      <alignment horizontal="center" vertical="center"/>
    </xf>
    <xf numFmtId="2" fontId="81" fillId="0" borderId="0" xfId="2" applyNumberFormat="1" applyFont="1" applyAlignment="1">
      <alignment horizontal="center" vertical="center"/>
    </xf>
    <xf numFmtId="2" fontId="81" fillId="0" borderId="2" xfId="2" applyNumberFormat="1" applyFont="1" applyBorder="1" applyAlignment="1">
      <alignment horizontal="center" vertical="center"/>
    </xf>
    <xf numFmtId="0" fontId="79" fillId="0" borderId="14" xfId="2" applyFont="1" applyBorder="1" applyAlignment="1">
      <alignment horizontal="center" vertical="center"/>
    </xf>
    <xf numFmtId="0" fontId="79" fillId="0" borderId="19" xfId="2" applyFont="1" applyBorder="1" applyAlignment="1">
      <alignment horizontal="center" vertical="center"/>
    </xf>
    <xf numFmtId="1" fontId="79" fillId="0" borderId="14" xfId="2" applyNumberFormat="1" applyFont="1" applyBorder="1" applyAlignment="1">
      <alignment horizontal="center" vertical="center"/>
    </xf>
    <xf numFmtId="1" fontId="79" fillId="0" borderId="8" xfId="2" applyNumberFormat="1" applyFont="1" applyBorder="1" applyAlignment="1">
      <alignment horizontal="center" vertical="center"/>
    </xf>
    <xf numFmtId="1" fontId="79" fillId="0" borderId="19" xfId="2" applyNumberFormat="1" applyFont="1" applyBorder="1" applyAlignment="1">
      <alignment horizontal="center" vertical="center"/>
    </xf>
    <xf numFmtId="0" fontId="65" fillId="0" borderId="2" xfId="2" applyFont="1" applyBorder="1" applyAlignment="1">
      <alignment horizontal="center" vertical="center"/>
    </xf>
    <xf numFmtId="2" fontId="81" fillId="0" borderId="31" xfId="2" applyNumberFormat="1" applyFont="1" applyBorder="1" applyAlignment="1">
      <alignment horizontal="center" vertical="center"/>
    </xf>
    <xf numFmtId="1" fontId="77" fillId="3" borderId="8" xfId="2" applyNumberFormat="1" applyFont="1" applyFill="1" applyBorder="1" applyAlignment="1">
      <alignment horizontal="center" vertical="center"/>
    </xf>
    <xf numFmtId="2" fontId="77" fillId="3" borderId="8" xfId="2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38" fillId="0" borderId="11" xfId="2" applyNumberFormat="1" applyFont="1" applyBorder="1" applyAlignment="1">
      <alignment vertical="center"/>
    </xf>
    <xf numFmtId="0" fontId="9" fillId="0" borderId="12" xfId="2" applyFont="1" applyBorder="1" applyAlignment="1">
      <alignment vertical="center" wrapText="1"/>
    </xf>
    <xf numFmtId="0" fontId="9" fillId="0" borderId="24" xfId="2" applyFont="1" applyBorder="1" applyAlignment="1">
      <alignment vertical="center" wrapText="1"/>
    </xf>
    <xf numFmtId="0" fontId="34" fillId="4" borderId="16" xfId="2" applyFont="1" applyFill="1" applyBorder="1" applyAlignment="1">
      <alignment horizontal="right" vertical="center" wrapText="1"/>
    </xf>
    <xf numFmtId="0" fontId="38" fillId="4" borderId="16" xfId="2" applyFont="1" applyFill="1" applyBorder="1" applyAlignment="1">
      <alignment horizontal="left" vertical="center"/>
    </xf>
    <xf numFmtId="0" fontId="38" fillId="4" borderId="16" xfId="2" applyFont="1" applyFill="1" applyBorder="1" applyAlignment="1">
      <alignment horizontal="right" vertical="center"/>
    </xf>
    <xf numFmtId="0" fontId="15" fillId="0" borderId="3" xfId="2" applyFont="1" applyBorder="1" applyAlignment="1">
      <alignment vertical="center"/>
    </xf>
    <xf numFmtId="0" fontId="39" fillId="0" borderId="2" xfId="0" applyFont="1" applyBorder="1" applyAlignment="1">
      <alignment horizontal="left" vertical="center"/>
    </xf>
    <xf numFmtId="0" fontId="68" fillId="0" borderId="2" xfId="0" applyFont="1" applyBorder="1" applyAlignment="1">
      <alignment horizontal="left" vertical="center"/>
    </xf>
    <xf numFmtId="0" fontId="5" fillId="14" borderId="5" xfId="0" applyFont="1" applyFill="1" applyBorder="1" applyAlignment="1">
      <alignment horizontal="left" vertical="center"/>
    </xf>
    <xf numFmtId="0" fontId="68" fillId="4" borderId="2" xfId="0" applyFont="1" applyFill="1" applyBorder="1" applyAlignment="1">
      <alignment horizontal="left" vertical="center"/>
    </xf>
    <xf numFmtId="0" fontId="68" fillId="0" borderId="2" xfId="0" applyFont="1" applyBorder="1" applyAlignment="1">
      <alignment horizontal="left" vertical="center" wrapText="1"/>
    </xf>
    <xf numFmtId="2" fontId="8" fillId="16" borderId="11" xfId="2" applyNumberFormat="1" applyFont="1" applyFill="1" applyBorder="1" applyAlignment="1">
      <alignment vertical="center"/>
    </xf>
    <xf numFmtId="0" fontId="63" fillId="0" borderId="2" xfId="0" applyFont="1" applyBorder="1" applyAlignment="1">
      <alignment vertical="top" wrapText="1"/>
    </xf>
    <xf numFmtId="1" fontId="63" fillId="0" borderId="2" xfId="0" applyNumberFormat="1" applyFont="1" applyBorder="1" applyAlignment="1">
      <alignment vertical="top" wrapText="1"/>
    </xf>
    <xf numFmtId="0" fontId="79" fillId="0" borderId="20" xfId="2" applyFont="1" applyBorder="1" applyAlignment="1">
      <alignment horizontal="center" vertical="center"/>
    </xf>
    <xf numFmtId="2" fontId="81" fillId="0" borderId="1" xfId="2" applyNumberFormat="1" applyFont="1" applyBorder="1" applyAlignment="1">
      <alignment horizontal="center" vertical="center"/>
    </xf>
    <xf numFmtId="0" fontId="79" fillId="0" borderId="16" xfId="2" applyFont="1" applyBorder="1" applyAlignment="1">
      <alignment horizontal="center" vertical="center"/>
    </xf>
    <xf numFmtId="2" fontId="79" fillId="0" borderId="16" xfId="2" applyNumberFormat="1" applyFont="1" applyBorder="1" applyAlignment="1">
      <alignment horizontal="center" vertical="center"/>
    </xf>
    <xf numFmtId="0" fontId="79" fillId="0" borderId="2" xfId="2" applyFont="1" applyBorder="1" applyAlignment="1">
      <alignment horizontal="center" vertical="center"/>
    </xf>
    <xf numFmtId="0" fontId="34" fillId="0" borderId="0" xfId="0" quotePrefix="1" applyFont="1" applyAlignment="1">
      <alignment vertical="center"/>
    </xf>
    <xf numFmtId="1" fontId="34" fillId="20" borderId="11" xfId="2" applyNumberFormat="1" applyFont="1" applyFill="1" applyBorder="1" applyAlignment="1">
      <alignment horizontal="center" vertical="center"/>
    </xf>
    <xf numFmtId="0" fontId="34" fillId="0" borderId="2" xfId="0" quotePrefix="1" applyFont="1" applyBorder="1" applyAlignment="1">
      <alignment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8" xfId="2" applyFont="1" applyBorder="1" applyAlignment="1">
      <alignment horizontal="left" vertical="center"/>
    </xf>
    <xf numFmtId="0" fontId="8" fillId="16" borderId="25" xfId="2" applyFont="1" applyFill="1" applyBorder="1" applyAlignment="1">
      <alignment horizontal="center" vertical="center"/>
    </xf>
    <xf numFmtId="0" fontId="2" fillId="0" borderId="0" xfId="3"/>
    <xf numFmtId="169" fontId="0" fillId="0" borderId="0" xfId="0" applyNumberFormat="1"/>
    <xf numFmtId="1" fontId="64" fillId="4" borderId="2" xfId="2" applyNumberFormat="1" applyFont="1" applyFill="1" applyBorder="1" applyAlignment="1">
      <alignment horizontal="right" vertical="center"/>
    </xf>
    <xf numFmtId="165" fontId="64" fillId="0" borderId="2" xfId="2" applyNumberFormat="1" applyFont="1" applyBorder="1"/>
    <xf numFmtId="165" fontId="15" fillId="0" borderId="10" xfId="2" applyNumberFormat="1" applyFont="1" applyBorder="1"/>
    <xf numFmtId="0" fontId="14" fillId="4" borderId="0" xfId="0" applyFont="1" applyFill="1" applyAlignment="1">
      <alignment horizontal="center"/>
    </xf>
    <xf numFmtId="0" fontId="38" fillId="0" borderId="8" xfId="2" applyFont="1" applyBorder="1" applyAlignment="1">
      <alignment horizontal="center" vertical="center"/>
    </xf>
    <xf numFmtId="0" fontId="38" fillId="0" borderId="13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/>
    </xf>
    <xf numFmtId="0" fontId="38" fillId="0" borderId="8" xfId="2" applyFont="1" applyBorder="1" applyAlignment="1">
      <alignment horizontal="center" vertical="center" wrapText="1"/>
    </xf>
    <xf numFmtId="1" fontId="33" fillId="3" borderId="8" xfId="2" applyNumberFormat="1" applyFont="1" applyFill="1" applyBorder="1" applyAlignment="1">
      <alignment horizontal="center" vertical="center"/>
    </xf>
    <xf numFmtId="165" fontId="33" fillId="3" borderId="8" xfId="2" applyNumberFormat="1" applyFont="1" applyFill="1" applyBorder="1" applyAlignment="1">
      <alignment horizontal="center" vertical="center"/>
    </xf>
    <xf numFmtId="165" fontId="34" fillId="3" borderId="8" xfId="2" applyNumberFormat="1" applyFont="1" applyFill="1" applyBorder="1" applyAlignment="1">
      <alignment horizontal="center" vertical="center"/>
    </xf>
    <xf numFmtId="1" fontId="34" fillId="3" borderId="8" xfId="2" applyNumberFormat="1" applyFont="1" applyFill="1" applyBorder="1" applyAlignment="1">
      <alignment horizontal="center" vertical="center"/>
    </xf>
    <xf numFmtId="0" fontId="38" fillId="0" borderId="12" xfId="2" applyFont="1" applyBorder="1" applyAlignment="1">
      <alignment horizontal="center" vertical="center"/>
    </xf>
    <xf numFmtId="0" fontId="38" fillId="4" borderId="12" xfId="2" applyFont="1" applyFill="1" applyBorder="1" applyAlignment="1">
      <alignment horizontal="center" vertical="center"/>
    </xf>
    <xf numFmtId="1" fontId="38" fillId="0" borderId="8" xfId="2" applyNumberFormat="1" applyFont="1" applyBorder="1" applyAlignment="1">
      <alignment horizontal="center" vertical="center"/>
    </xf>
    <xf numFmtId="0" fontId="10" fillId="0" borderId="9" xfId="0" applyFont="1" applyBorder="1"/>
    <xf numFmtId="2" fontId="33" fillId="3" borderId="0" xfId="0" applyNumberFormat="1" applyFont="1" applyFill="1"/>
    <xf numFmtId="166" fontId="34" fillId="0" borderId="0" xfId="0" applyNumberFormat="1" applyFont="1"/>
    <xf numFmtId="0" fontId="38" fillId="0" borderId="9" xfId="0" applyFont="1" applyBorder="1" applyAlignment="1">
      <alignment vertical="center"/>
    </xf>
    <xf numFmtId="0" fontId="33" fillId="3" borderId="11" xfId="2" applyFont="1" applyFill="1" applyBorder="1" applyAlignment="1">
      <alignment horizontal="center" vertical="center"/>
    </xf>
    <xf numFmtId="165" fontId="33" fillId="20" borderId="8" xfId="2" applyNumberFormat="1" applyFont="1" applyFill="1" applyBorder="1" applyAlignment="1">
      <alignment horizontal="center" vertical="center"/>
    </xf>
    <xf numFmtId="0" fontId="33" fillId="20" borderId="8" xfId="2" applyFont="1" applyFill="1" applyBorder="1" applyAlignment="1">
      <alignment horizontal="center" vertical="center"/>
    </xf>
    <xf numFmtId="1" fontId="33" fillId="20" borderId="8" xfId="2" applyNumberFormat="1" applyFont="1" applyFill="1" applyBorder="1" applyAlignment="1">
      <alignment horizontal="center" vertical="center"/>
    </xf>
    <xf numFmtId="165" fontId="34" fillId="20" borderId="11" xfId="2" applyNumberFormat="1" applyFont="1" applyFill="1" applyBorder="1" applyAlignment="1">
      <alignment horizontal="center" vertical="center"/>
    </xf>
    <xf numFmtId="0" fontId="34" fillId="20" borderId="11" xfId="2" applyFont="1" applyFill="1" applyBorder="1" applyAlignment="1">
      <alignment horizontal="center" vertical="center"/>
    </xf>
    <xf numFmtId="1" fontId="34" fillId="3" borderId="2" xfId="2" applyNumberFormat="1" applyFont="1" applyFill="1" applyBorder="1" applyAlignment="1">
      <alignment horizontal="center" vertical="center"/>
    </xf>
    <xf numFmtId="2" fontId="38" fillId="0" borderId="8" xfId="2" applyNumberFormat="1" applyFont="1" applyBorder="1" applyAlignment="1">
      <alignment vertical="center"/>
    </xf>
    <xf numFmtId="0" fontId="38" fillId="0" borderId="11" xfId="2" applyFont="1" applyBorder="1" applyAlignment="1">
      <alignment horizontal="right" vertical="center"/>
    </xf>
    <xf numFmtId="0" fontId="38" fillId="0" borderId="11" xfId="2" applyFont="1" applyBorder="1" applyAlignment="1">
      <alignment vertical="center"/>
    </xf>
    <xf numFmtId="0" fontId="33" fillId="20" borderId="25" xfId="2" applyFont="1" applyFill="1" applyBorder="1" applyAlignment="1">
      <alignment vertical="center"/>
    </xf>
    <xf numFmtId="0" fontId="38" fillId="4" borderId="0" xfId="2" applyFont="1" applyFill="1" applyAlignment="1">
      <alignment horizontal="right" vertical="center"/>
    </xf>
    <xf numFmtId="165" fontId="11" fillId="0" borderId="0" xfId="2" applyNumberFormat="1" applyFont="1" applyAlignment="1">
      <alignment vertical="center"/>
    </xf>
    <xf numFmtId="0" fontId="11" fillId="0" borderId="0" xfId="2" applyFont="1" applyAlignment="1">
      <alignment horizontal="right" vertical="center"/>
    </xf>
    <xf numFmtId="165" fontId="33" fillId="3" borderId="2" xfId="2" applyNumberFormat="1" applyFont="1" applyFill="1" applyBorder="1" applyAlignment="1">
      <alignment horizontal="center" vertical="center"/>
    </xf>
    <xf numFmtId="1" fontId="33" fillId="3" borderId="2" xfId="2" applyNumberFormat="1" applyFont="1" applyFill="1" applyBorder="1" applyAlignment="1">
      <alignment horizontal="center" vertical="center"/>
    </xf>
    <xf numFmtId="165" fontId="34" fillId="3" borderId="10" xfId="2" applyNumberFormat="1" applyFont="1" applyFill="1" applyBorder="1" applyAlignment="1">
      <alignment horizontal="center" vertical="center"/>
    </xf>
    <xf numFmtId="0" fontId="38" fillId="0" borderId="12" xfId="2" applyFont="1" applyBorder="1" applyAlignment="1">
      <alignment vertical="center"/>
    </xf>
    <xf numFmtId="0" fontId="38" fillId="0" borderId="13" xfId="2" applyFont="1" applyBorder="1" applyAlignment="1">
      <alignment vertical="center" wrapText="1"/>
    </xf>
    <xf numFmtId="0" fontId="38" fillId="0" borderId="16" xfId="2" applyFont="1" applyBorder="1" applyAlignment="1">
      <alignment vertical="center"/>
    </xf>
    <xf numFmtId="165" fontId="34" fillId="3" borderId="11" xfId="2" applyNumberFormat="1" applyFont="1" applyFill="1" applyBorder="1" applyAlignment="1">
      <alignment horizontal="center" vertical="center"/>
    </xf>
    <xf numFmtId="1" fontId="34" fillId="3" borderId="11" xfId="2" applyNumberFormat="1" applyFont="1" applyFill="1" applyBorder="1" applyAlignment="1">
      <alignment horizontal="center" vertical="center"/>
    </xf>
    <xf numFmtId="0" fontId="38" fillId="0" borderId="27" xfId="2" applyFont="1" applyBorder="1" applyAlignment="1">
      <alignment horizontal="right" vertical="center"/>
    </xf>
    <xf numFmtId="0" fontId="11" fillId="0" borderId="27" xfId="2" applyFont="1" applyBorder="1" applyAlignment="1">
      <alignment vertical="center"/>
    </xf>
    <xf numFmtId="165" fontId="11" fillId="0" borderId="27" xfId="2" applyNumberFormat="1" applyFont="1" applyBorder="1" applyAlignment="1">
      <alignment vertical="center"/>
    </xf>
    <xf numFmtId="1" fontId="11" fillId="0" borderId="27" xfId="2" applyNumberFormat="1" applyFont="1" applyBorder="1" applyAlignment="1">
      <alignment vertical="center"/>
    </xf>
    <xf numFmtId="0" fontId="11" fillId="0" borderId="27" xfId="2" applyFont="1" applyBorder="1" applyAlignment="1">
      <alignment horizontal="right" vertical="center"/>
    </xf>
    <xf numFmtId="0" fontId="33" fillId="3" borderId="17" xfId="2" applyFont="1" applyFill="1" applyBorder="1" applyAlignment="1">
      <alignment vertical="center"/>
    </xf>
    <xf numFmtId="0" fontId="33" fillId="3" borderId="25" xfId="2" applyFont="1" applyFill="1" applyBorder="1" applyAlignment="1">
      <alignment vertical="center"/>
    </xf>
    <xf numFmtId="0" fontId="38" fillId="0" borderId="14" xfId="2" applyFont="1" applyBorder="1" applyAlignment="1">
      <alignment vertical="center"/>
    </xf>
    <xf numFmtId="0" fontId="38" fillId="0" borderId="8" xfId="0" applyFont="1" applyBorder="1" applyAlignment="1">
      <alignment horizontal="right" vertical="center" wrapText="1"/>
    </xf>
    <xf numFmtId="0" fontId="38" fillId="0" borderId="28" xfId="2" applyFont="1" applyBorder="1" applyAlignment="1">
      <alignment vertical="center"/>
    </xf>
    <xf numFmtId="0" fontId="38" fillId="0" borderId="10" xfId="2" applyFont="1" applyBorder="1" applyAlignment="1">
      <alignment vertical="center"/>
    </xf>
    <xf numFmtId="0" fontId="38" fillId="0" borderId="33" xfId="2" applyFont="1" applyBorder="1" applyAlignment="1">
      <alignment vertical="center"/>
    </xf>
    <xf numFmtId="0" fontId="33" fillId="3" borderId="8" xfId="2" applyFont="1" applyFill="1" applyBorder="1" applyAlignment="1">
      <alignment horizontal="right" vertical="center"/>
    </xf>
    <xf numFmtId="0" fontId="32" fillId="0" borderId="0" xfId="2" applyFont="1" applyAlignment="1">
      <alignment horizontal="right" vertical="center"/>
    </xf>
    <xf numFmtId="165" fontId="32" fillId="0" borderId="0" xfId="2" applyNumberFormat="1" applyFont="1" applyAlignment="1">
      <alignment vertical="center"/>
    </xf>
    <xf numFmtId="0" fontId="38" fillId="0" borderId="20" xfId="2" applyFont="1" applyBorder="1" applyAlignment="1">
      <alignment vertical="center" wrapText="1"/>
    </xf>
    <xf numFmtId="165" fontId="33" fillId="3" borderId="11" xfId="2" applyNumberFormat="1" applyFont="1" applyFill="1" applyBorder="1" applyAlignment="1">
      <alignment horizontal="center" vertical="center"/>
    </xf>
    <xf numFmtId="1" fontId="33" fillId="3" borderId="11" xfId="2" applyNumberFormat="1" applyFont="1" applyFill="1" applyBorder="1" applyAlignment="1">
      <alignment horizontal="center" vertical="center"/>
    </xf>
    <xf numFmtId="165" fontId="34" fillId="3" borderId="2" xfId="2" applyNumberFormat="1" applyFont="1" applyFill="1" applyBorder="1" applyAlignment="1">
      <alignment horizontal="center" vertical="center"/>
    </xf>
    <xf numFmtId="0" fontId="38" fillId="0" borderId="2" xfId="2" applyFont="1" applyBorder="1" applyAlignment="1">
      <alignment horizontal="left" vertical="center" wrapText="1"/>
    </xf>
    <xf numFmtId="0" fontId="38" fillId="0" borderId="2" xfId="2" applyFont="1" applyBorder="1" applyAlignment="1">
      <alignment vertical="center" wrapText="1"/>
    </xf>
    <xf numFmtId="1" fontId="38" fillId="0" borderId="2" xfId="2" applyNumberFormat="1" applyFont="1" applyBorder="1" applyAlignment="1">
      <alignment vertical="center"/>
    </xf>
    <xf numFmtId="0" fontId="33" fillId="3" borderId="12" xfId="2" applyFont="1" applyFill="1" applyBorder="1" applyAlignment="1">
      <alignment horizontal="right" vertical="center"/>
    </xf>
    <xf numFmtId="2" fontId="33" fillId="3" borderId="8" xfId="2" applyNumberFormat="1" applyFont="1" applyFill="1" applyBorder="1" applyAlignment="1">
      <alignment horizontal="right" vertical="center"/>
    </xf>
    <xf numFmtId="0" fontId="38" fillId="0" borderId="11" xfId="2" applyFont="1" applyBorder="1" applyAlignment="1">
      <alignment horizontal="right" vertical="center" wrapText="1"/>
    </xf>
    <xf numFmtId="0" fontId="38" fillId="0" borderId="12" xfId="2" applyFont="1" applyBorder="1" applyAlignment="1">
      <alignment horizontal="right" vertical="center"/>
    </xf>
    <xf numFmtId="1" fontId="33" fillId="3" borderId="11" xfId="2" applyNumberFormat="1" applyFont="1" applyFill="1" applyBorder="1" applyAlignment="1">
      <alignment vertical="center"/>
    </xf>
    <xf numFmtId="0" fontId="32" fillId="0" borderId="27" xfId="2" applyFont="1" applyBorder="1" applyAlignment="1">
      <alignment vertical="center"/>
    </xf>
    <xf numFmtId="1" fontId="103" fillId="0" borderId="27" xfId="2" applyNumberFormat="1" applyFont="1" applyBorder="1" applyAlignment="1">
      <alignment vertical="center"/>
    </xf>
    <xf numFmtId="1" fontId="32" fillId="0" borderId="27" xfId="2" applyNumberFormat="1" applyFont="1" applyBorder="1" applyAlignment="1">
      <alignment vertical="center"/>
    </xf>
    <xf numFmtId="0" fontId="104" fillId="0" borderId="8" xfId="2" applyFont="1" applyBorder="1" applyAlignment="1">
      <alignment horizontal="right" vertical="center"/>
    </xf>
    <xf numFmtId="0" fontId="33" fillId="3" borderId="34" xfId="2" applyFont="1" applyFill="1" applyBorder="1" applyAlignment="1">
      <alignment vertical="center"/>
    </xf>
    <xf numFmtId="2" fontId="33" fillId="3" borderId="23" xfId="2" applyNumberFormat="1" applyFont="1" applyFill="1" applyBorder="1" applyAlignment="1">
      <alignment horizontal="right" vertical="center"/>
    </xf>
    <xf numFmtId="1" fontId="33" fillId="3" borderId="24" xfId="2" applyNumberFormat="1" applyFont="1" applyFill="1" applyBorder="1" applyAlignment="1">
      <alignment horizontal="right" vertical="center"/>
    </xf>
    <xf numFmtId="0" fontId="33" fillId="3" borderId="24" xfId="2" applyFont="1" applyFill="1" applyBorder="1" applyAlignment="1">
      <alignment vertical="center"/>
    </xf>
    <xf numFmtId="1" fontId="33" fillId="3" borderId="24" xfId="2" applyNumberFormat="1" applyFont="1" applyFill="1" applyBorder="1" applyAlignment="1">
      <alignment vertical="center"/>
    </xf>
    <xf numFmtId="0" fontId="104" fillId="0" borderId="0" xfId="2" applyFont="1" applyAlignment="1">
      <alignment horizontal="right" vertical="center"/>
    </xf>
    <xf numFmtId="0" fontId="104" fillId="0" borderId="0" xfId="2" applyFont="1" applyAlignment="1">
      <alignment vertical="center"/>
    </xf>
    <xf numFmtId="165" fontId="104" fillId="0" borderId="0" xfId="2" applyNumberFormat="1" applyFont="1" applyAlignment="1">
      <alignment horizontal="right" vertical="center"/>
    </xf>
    <xf numFmtId="1" fontId="104" fillId="0" borderId="0" xfId="2" applyNumberFormat="1" applyFont="1" applyAlignment="1">
      <alignment horizontal="right" vertical="center"/>
    </xf>
    <xf numFmtId="1" fontId="104" fillId="0" borderId="0" xfId="2" applyNumberFormat="1" applyFont="1" applyAlignment="1">
      <alignment vertical="center"/>
    </xf>
    <xf numFmtId="0" fontId="38" fillId="0" borderId="11" xfId="2" applyFont="1" applyBorder="1" applyAlignment="1">
      <alignment vertical="center" wrapText="1"/>
    </xf>
    <xf numFmtId="1" fontId="38" fillId="9" borderId="8" xfId="0" applyNumberFormat="1" applyFont="1" applyFill="1" applyBorder="1" applyAlignment="1">
      <alignment horizontal="right" vertical="center"/>
    </xf>
    <xf numFmtId="0" fontId="34" fillId="0" borderId="12" xfId="2" applyFont="1" applyBorder="1" applyAlignment="1">
      <alignment horizontal="right" vertical="center"/>
    </xf>
    <xf numFmtId="0" fontId="34" fillId="0" borderId="8" xfId="2" applyFont="1" applyBorder="1" applyAlignment="1">
      <alignment vertical="center"/>
    </xf>
    <xf numFmtId="0" fontId="34" fillId="0" borderId="12" xfId="2" applyFont="1" applyBorder="1" applyAlignment="1">
      <alignment vertical="center"/>
    </xf>
    <xf numFmtId="1" fontId="33" fillId="3" borderId="13" xfId="2" applyNumberFormat="1" applyFont="1" applyFill="1" applyBorder="1" applyAlignment="1">
      <alignment horizontal="center" vertical="center"/>
    </xf>
    <xf numFmtId="1" fontId="34" fillId="3" borderId="13" xfId="2" applyNumberFormat="1" applyFont="1" applyFill="1" applyBorder="1" applyAlignment="1">
      <alignment horizontal="center" vertical="center"/>
    </xf>
    <xf numFmtId="1" fontId="38" fillId="0" borderId="14" xfId="2" applyNumberFormat="1" applyFont="1" applyBorder="1" applyAlignment="1">
      <alignment vertical="center"/>
    </xf>
    <xf numFmtId="0" fontId="33" fillId="3" borderId="2" xfId="2" applyFont="1" applyFill="1" applyBorder="1" applyAlignment="1">
      <alignment horizontal="right" vertical="center"/>
    </xf>
    <xf numFmtId="0" fontId="38" fillId="9" borderId="8" xfId="2" applyFont="1" applyFill="1" applyBorder="1" applyAlignment="1">
      <alignment vertical="center" wrapText="1"/>
    </xf>
    <xf numFmtId="1" fontId="33" fillId="3" borderId="8" xfId="2" applyNumberFormat="1" applyFont="1" applyFill="1" applyBorder="1" applyAlignment="1">
      <alignment horizontal="right" vertical="center"/>
    </xf>
    <xf numFmtId="2" fontId="33" fillId="3" borderId="12" xfId="2" applyNumberFormat="1" applyFont="1" applyFill="1" applyBorder="1" applyAlignment="1">
      <alignment horizontal="right" vertical="center"/>
    </xf>
    <xf numFmtId="0" fontId="34" fillId="0" borderId="8" xfId="2" applyFont="1" applyBorder="1" applyAlignment="1">
      <alignment horizontal="right" vertical="center"/>
    </xf>
    <xf numFmtId="2" fontId="33" fillId="3" borderId="2" xfId="2" applyNumberFormat="1" applyFont="1" applyFill="1" applyBorder="1" applyAlignment="1">
      <alignment horizontal="right" vertical="center"/>
    </xf>
    <xf numFmtId="1" fontId="33" fillId="3" borderId="2" xfId="2" applyNumberFormat="1" applyFont="1" applyFill="1" applyBorder="1" applyAlignment="1">
      <alignment vertical="center"/>
    </xf>
    <xf numFmtId="1" fontId="33" fillId="3" borderId="2" xfId="2" applyNumberFormat="1" applyFont="1" applyFill="1" applyBorder="1" applyAlignment="1">
      <alignment horizontal="right" vertical="center"/>
    </xf>
    <xf numFmtId="1" fontId="38" fillId="0" borderId="11" xfId="2" applyNumberFormat="1" applyFont="1" applyBorder="1" applyAlignment="1">
      <alignment horizontal="right" vertical="center"/>
    </xf>
    <xf numFmtId="1" fontId="38" fillId="0" borderId="13" xfId="2" applyNumberFormat="1" applyFont="1" applyBorder="1" applyAlignment="1">
      <alignment horizontal="right" vertical="center"/>
    </xf>
    <xf numFmtId="0" fontId="33" fillId="3" borderId="8" xfId="2" applyFont="1" applyFill="1" applyBorder="1"/>
    <xf numFmtId="0" fontId="11" fillId="0" borderId="0" xfId="2" applyFont="1"/>
    <xf numFmtId="2" fontId="11" fillId="0" borderId="0" xfId="2" applyNumberFormat="1" applyFont="1"/>
    <xf numFmtId="165" fontId="11" fillId="0" borderId="0" xfId="2" applyNumberFormat="1" applyFont="1"/>
    <xf numFmtId="0" fontId="34" fillId="0" borderId="0" xfId="2" applyFont="1"/>
    <xf numFmtId="0" fontId="77" fillId="3" borderId="8" xfId="2" applyFont="1" applyFill="1" applyBorder="1" applyAlignment="1">
      <alignment horizontal="center" wrapText="1"/>
    </xf>
    <xf numFmtId="165" fontId="77" fillId="3" borderId="8" xfId="2" applyNumberFormat="1" applyFont="1" applyFill="1" applyBorder="1" applyAlignment="1">
      <alignment horizontal="center" wrapText="1"/>
    </xf>
    <xf numFmtId="1" fontId="77" fillId="3" borderId="8" xfId="2" applyNumberFormat="1" applyFont="1" applyFill="1" applyBorder="1" applyAlignment="1">
      <alignment horizontal="center" wrapText="1"/>
    </xf>
    <xf numFmtId="0" fontId="77" fillId="3" borderId="8" xfId="2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 wrapText="1"/>
    </xf>
    <xf numFmtId="165" fontId="78" fillId="3" borderId="8" xfId="2" applyNumberFormat="1" applyFont="1" applyFill="1" applyBorder="1" applyAlignment="1">
      <alignment horizontal="center"/>
    </xf>
    <xf numFmtId="1" fontId="78" fillId="3" borderId="8" xfId="2" applyNumberFormat="1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/>
    </xf>
    <xf numFmtId="0" fontId="81" fillId="0" borderId="8" xfId="2" applyFont="1" applyBorder="1" applyAlignment="1">
      <alignment horizontal="center" vertical="center"/>
    </xf>
    <xf numFmtId="2" fontId="81" fillId="0" borderId="8" xfId="2" applyNumberFormat="1" applyFont="1" applyBorder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8" fillId="16" borderId="1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65" fontId="9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/>
    </xf>
    <xf numFmtId="0" fontId="8" fillId="16" borderId="11" xfId="2" applyFont="1" applyFill="1" applyBorder="1" applyAlignment="1">
      <alignment horizontal="center"/>
    </xf>
    <xf numFmtId="1" fontId="8" fillId="16" borderId="11" xfId="2" applyNumberFormat="1" applyFont="1" applyFill="1" applyBorder="1" applyAlignment="1">
      <alignment horizontal="center"/>
    </xf>
    <xf numFmtId="165" fontId="14" fillId="16" borderId="11" xfId="2" applyNumberFormat="1" applyFont="1" applyFill="1" applyBorder="1" applyAlignment="1">
      <alignment horizontal="center" vertical="center"/>
    </xf>
    <xf numFmtId="1" fontId="14" fillId="16" borderId="11" xfId="2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8" fillId="16" borderId="12" xfId="2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right" vertical="center"/>
    </xf>
    <xf numFmtId="0" fontId="9" fillId="0" borderId="2" xfId="0" applyFont="1" applyBorder="1" applyAlignment="1">
      <alignment horizontal="right" wrapText="1"/>
    </xf>
    <xf numFmtId="0" fontId="67" fillId="3" borderId="2" xfId="0" applyFont="1" applyFill="1" applyBorder="1" applyAlignment="1">
      <alignment horizontal="center" vertical="center"/>
    </xf>
    <xf numFmtId="0" fontId="64" fillId="0" borderId="37" xfId="2" applyFont="1" applyBorder="1" applyAlignment="1">
      <alignment horizontal="right" vertical="center" wrapText="1"/>
    </xf>
    <xf numFmtId="165" fontId="15" fillId="0" borderId="4" xfId="2" applyNumberFormat="1" applyFont="1" applyBorder="1"/>
    <xf numFmtId="0" fontId="9" fillId="0" borderId="37" xfId="2" applyFont="1" applyBorder="1" applyAlignment="1">
      <alignment horizontal="right" vertical="center" wrapText="1"/>
    </xf>
    <xf numFmtId="165" fontId="15" fillId="0" borderId="10" xfId="2" applyNumberFormat="1" applyFont="1" applyBorder="1" applyAlignment="1">
      <alignment vertical="center"/>
    </xf>
    <xf numFmtId="0" fontId="9" fillId="0" borderId="9" xfId="2" applyFont="1" applyBorder="1" applyAlignment="1">
      <alignment vertical="center" wrapText="1"/>
    </xf>
    <xf numFmtId="0" fontId="9" fillId="4" borderId="8" xfId="2" applyFont="1" applyFill="1" applyBorder="1" applyAlignment="1">
      <alignment vertical="center" wrapText="1"/>
    </xf>
    <xf numFmtId="0" fontId="9" fillId="4" borderId="13" xfId="2" applyFont="1" applyFill="1" applyBorder="1" applyAlignment="1">
      <alignment vertical="center"/>
    </xf>
    <xf numFmtId="0" fontId="9" fillId="4" borderId="20" xfId="2" applyFont="1" applyFill="1" applyBorder="1" applyAlignment="1">
      <alignment vertical="center" wrapText="1"/>
    </xf>
    <xf numFmtId="0" fontId="9" fillId="4" borderId="9" xfId="2" applyFont="1" applyFill="1" applyBorder="1" applyAlignment="1">
      <alignment vertical="center" wrapText="1"/>
    </xf>
    <xf numFmtId="1" fontId="64" fillId="4" borderId="2" xfId="2" applyNumberFormat="1" applyFont="1" applyFill="1" applyBorder="1"/>
    <xf numFmtId="0" fontId="64" fillId="4" borderId="2" xfId="2" applyFont="1" applyFill="1" applyBorder="1" applyAlignment="1">
      <alignment horizontal="right"/>
    </xf>
    <xf numFmtId="0" fontId="10" fillId="4" borderId="2" xfId="0" applyFont="1" applyFill="1" applyBorder="1"/>
    <xf numFmtId="0" fontId="17" fillId="4" borderId="13" xfId="2" applyFont="1" applyFill="1" applyBorder="1" applyAlignment="1">
      <alignment vertical="center"/>
    </xf>
    <xf numFmtId="0" fontId="64" fillId="4" borderId="2" xfId="2" applyFont="1" applyFill="1" applyBorder="1"/>
    <xf numFmtId="0" fontId="14" fillId="0" borderId="0" xfId="0" applyFont="1" applyAlignment="1">
      <alignment horizontal="center" vertical="center"/>
    </xf>
    <xf numFmtId="1" fontId="9" fillId="3" borderId="2" xfId="0" applyNumberFormat="1" applyFont="1" applyFill="1" applyBorder="1" applyAlignment="1">
      <alignment horizontal="right" vertical="center"/>
    </xf>
    <xf numFmtId="0" fontId="8" fillId="16" borderId="16" xfId="2" applyFont="1" applyFill="1" applyBorder="1" applyAlignment="1">
      <alignment vertical="center"/>
    </xf>
    <xf numFmtId="0" fontId="105" fillId="24" borderId="45" xfId="2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center" vertical="center"/>
    </xf>
    <xf numFmtId="0" fontId="9" fillId="10" borderId="2" xfId="2" applyFont="1" applyFill="1" applyBorder="1" applyAlignment="1">
      <alignment horizontal="center" vertical="center"/>
    </xf>
    <xf numFmtId="0" fontId="92" fillId="24" borderId="0" xfId="0" applyFont="1" applyFill="1" applyAlignment="1">
      <alignment vertical="center"/>
    </xf>
    <xf numFmtId="0" fontId="105" fillId="24" borderId="45" xfId="2" applyFont="1" applyFill="1" applyBorder="1" applyAlignment="1">
      <alignment horizontal="left" vertical="center"/>
    </xf>
    <xf numFmtId="0" fontId="108" fillId="24" borderId="0" xfId="2" applyFont="1" applyFill="1" applyAlignment="1">
      <alignment vertical="center"/>
    </xf>
    <xf numFmtId="0" fontId="108" fillId="24" borderId="0" xfId="0" applyFont="1" applyFill="1" applyAlignment="1">
      <alignment vertical="center"/>
    </xf>
    <xf numFmtId="1" fontId="9" fillId="4" borderId="8" xfId="2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1" fontId="9" fillId="4" borderId="12" xfId="2" applyNumberFormat="1" applyFont="1" applyFill="1" applyBorder="1" applyAlignment="1">
      <alignment horizontal="right" vertical="center"/>
    </xf>
    <xf numFmtId="0" fontId="92" fillId="24" borderId="0" xfId="0" applyFont="1" applyFill="1"/>
    <xf numFmtId="165" fontId="38" fillId="0" borderId="2" xfId="2" applyNumberFormat="1" applyFont="1" applyBorder="1" applyAlignment="1">
      <alignment horizontal="center" vertical="center"/>
    </xf>
    <xf numFmtId="1" fontId="38" fillId="0" borderId="2" xfId="2" applyNumberFormat="1" applyFont="1" applyBorder="1" applyAlignment="1">
      <alignment horizontal="center" vertical="center"/>
    </xf>
    <xf numFmtId="0" fontId="9" fillId="8" borderId="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167" fontId="9" fillId="0" borderId="2" xfId="2" applyNumberFormat="1" applyFont="1" applyBorder="1" applyAlignment="1">
      <alignment horizontal="center" vertical="center"/>
    </xf>
    <xf numFmtId="1" fontId="9" fillId="8" borderId="2" xfId="2" applyNumberFormat="1" applyFont="1" applyFill="1" applyBorder="1" applyAlignment="1">
      <alignment horizontal="center" vertical="center"/>
    </xf>
    <xf numFmtId="165" fontId="9" fillId="8" borderId="2" xfId="2" applyNumberFormat="1" applyFont="1" applyFill="1" applyBorder="1" applyAlignment="1">
      <alignment horizontal="center" vertical="center"/>
    </xf>
    <xf numFmtId="1" fontId="9" fillId="10" borderId="2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2" fontId="38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" fontId="9" fillId="0" borderId="3" xfId="2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2" fontId="9" fillId="0" borderId="8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2" xfId="1" applyNumberFormat="1" applyFont="1" applyFill="1" applyBorder="1" applyAlignment="1" applyProtection="1">
      <alignment horizontal="center" vertical="center"/>
    </xf>
    <xf numFmtId="1" fontId="9" fillId="10" borderId="2" xfId="1" applyNumberFormat="1" applyFont="1" applyFill="1" applyBorder="1" applyAlignment="1">
      <alignment horizontal="center" vertical="center"/>
    </xf>
    <xf numFmtId="1" fontId="9" fillId="4" borderId="2" xfId="2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1" fontId="9" fillId="0" borderId="2" xfId="2" applyNumberFormat="1" applyFont="1" applyBorder="1" applyAlignment="1">
      <alignment horizontal="center" vertical="center" wrapText="1"/>
    </xf>
    <xf numFmtId="1" fontId="9" fillId="7" borderId="2" xfId="2" applyNumberFormat="1" applyFont="1" applyFill="1" applyBorder="1" applyAlignment="1">
      <alignment horizontal="center" vertical="center"/>
    </xf>
    <xf numFmtId="0" fontId="9" fillId="9" borderId="2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165" fontId="77" fillId="3" borderId="8" xfId="2" applyNumberFormat="1" applyFont="1" applyFill="1" applyBorder="1" applyAlignment="1">
      <alignment horizontal="center" vertical="center"/>
    </xf>
    <xf numFmtId="2" fontId="8" fillId="3" borderId="12" xfId="2" applyNumberFormat="1" applyFont="1" applyFill="1" applyBorder="1" applyAlignment="1">
      <alignment horizontal="center" vertical="center"/>
    </xf>
    <xf numFmtId="1" fontId="8" fillId="3" borderId="12" xfId="2" applyNumberFormat="1" applyFont="1" applyFill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/>
    </xf>
    <xf numFmtId="1" fontId="9" fillId="8" borderId="2" xfId="2" applyNumberFormat="1" applyFont="1" applyFill="1" applyBorder="1" applyAlignment="1">
      <alignment horizontal="center"/>
    </xf>
    <xf numFmtId="0" fontId="14" fillId="4" borderId="0" xfId="0" applyFont="1" applyFill="1"/>
    <xf numFmtId="0" fontId="9" fillId="4" borderId="2" xfId="2" applyFont="1" applyFill="1" applyBorder="1" applyAlignment="1">
      <alignment horizontal="center"/>
    </xf>
    <xf numFmtId="2" fontId="9" fillId="0" borderId="2" xfId="2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" fontId="9" fillId="0" borderId="2" xfId="2" applyNumberFormat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/>
    </xf>
    <xf numFmtId="1" fontId="9" fillId="0" borderId="2" xfId="2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0" fontId="8" fillId="16" borderId="24" xfId="2" applyFont="1" applyFill="1" applyBorder="1" applyAlignment="1">
      <alignment horizontal="center" vertical="center"/>
    </xf>
    <xf numFmtId="167" fontId="8" fillId="16" borderId="24" xfId="2" applyNumberFormat="1" applyFont="1" applyFill="1" applyBorder="1" applyAlignment="1">
      <alignment horizontal="center" vertical="center"/>
    </xf>
    <xf numFmtId="1" fontId="8" fillId="16" borderId="24" xfId="2" applyNumberFormat="1" applyFont="1" applyFill="1" applyBorder="1" applyAlignment="1">
      <alignment horizontal="center" vertical="center"/>
    </xf>
    <xf numFmtId="43" fontId="9" fillId="0" borderId="2" xfId="2" applyNumberFormat="1" applyFont="1" applyBorder="1" applyAlignment="1">
      <alignment horizontal="center" vertical="center"/>
    </xf>
    <xf numFmtId="170" fontId="9" fillId="0" borderId="2" xfId="0" applyNumberFormat="1" applyFont="1" applyBorder="1" applyAlignment="1">
      <alignment horizontal="center" vertical="center"/>
    </xf>
    <xf numFmtId="0" fontId="102" fillId="0" borderId="2" xfId="0" applyFont="1" applyBorder="1" applyAlignment="1">
      <alignment horizontal="center" wrapText="1"/>
    </xf>
    <xf numFmtId="0" fontId="86" fillId="0" borderId="2" xfId="0" applyFont="1" applyBorder="1" applyAlignment="1">
      <alignment horizontal="center" wrapText="1"/>
    </xf>
    <xf numFmtId="1" fontId="14" fillId="16" borderId="8" xfId="2" applyNumberFormat="1" applyFont="1" applyFill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" fontId="9" fillId="9" borderId="2" xfId="2" applyNumberFormat="1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right" vertical="center"/>
    </xf>
    <xf numFmtId="0" fontId="9" fillId="24" borderId="2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wrapText="1"/>
    </xf>
    <xf numFmtId="0" fontId="9" fillId="0" borderId="2" xfId="2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24" borderId="0" xfId="0" applyFont="1" applyFill="1" applyAlignment="1">
      <alignment horizontal="center"/>
    </xf>
    <xf numFmtId="0" fontId="110" fillId="25" borderId="0" xfId="0" applyFont="1" applyFill="1" applyAlignment="1">
      <alignment horizontal="center"/>
    </xf>
    <xf numFmtId="2" fontId="11" fillId="4" borderId="2" xfId="0" applyNumberFormat="1" applyFont="1" applyFill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1" fillId="4" borderId="9" xfId="0" applyNumberFormat="1" applyFont="1" applyFill="1" applyBorder="1" applyAlignment="1">
      <alignment horizontal="center" vertical="center"/>
    </xf>
    <xf numFmtId="2" fontId="69" fillId="14" borderId="9" xfId="0" applyNumberFormat="1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vertical="center"/>
    </xf>
    <xf numFmtId="0" fontId="10" fillId="24" borderId="2" xfId="0" applyFont="1" applyFill="1" applyBorder="1"/>
    <xf numFmtId="0" fontId="10" fillId="24" borderId="9" xfId="0" applyFont="1" applyFill="1" applyBorder="1"/>
    <xf numFmtId="0" fontId="10" fillId="24" borderId="2" xfId="0" applyFont="1" applyFill="1" applyBorder="1" applyAlignment="1">
      <alignment horizontal="center" vertical="center"/>
    </xf>
    <xf numFmtId="1" fontId="9" fillId="24" borderId="2" xfId="2" applyNumberFormat="1" applyFont="1" applyFill="1" applyBorder="1" applyAlignment="1">
      <alignment horizontal="center" vertical="center"/>
    </xf>
    <xf numFmtId="0" fontId="9" fillId="24" borderId="2" xfId="2" applyFont="1" applyFill="1" applyBorder="1" applyAlignment="1">
      <alignment horizontal="center" vertical="center"/>
    </xf>
    <xf numFmtId="1" fontId="15" fillId="0" borderId="2" xfId="2" applyNumberFormat="1" applyFont="1" applyBorder="1"/>
    <xf numFmtId="2" fontId="67" fillId="3" borderId="2" xfId="0" applyNumberFormat="1" applyFont="1" applyFill="1" applyBorder="1" applyAlignment="1">
      <alignment horizontal="center" vertical="center"/>
    </xf>
    <xf numFmtId="165" fontId="67" fillId="3" borderId="2" xfId="0" applyNumberFormat="1" applyFont="1" applyFill="1" applyBorder="1" applyAlignment="1">
      <alignment horizontal="center" vertical="center"/>
    </xf>
    <xf numFmtId="0" fontId="9" fillId="24" borderId="12" xfId="2" applyFont="1" applyFill="1" applyBorder="1" applyAlignment="1">
      <alignment horizontal="right" vertical="center"/>
    </xf>
    <xf numFmtId="0" fontId="9" fillId="26" borderId="8" xfId="2" applyFont="1" applyFill="1" applyBorder="1" applyAlignment="1">
      <alignment vertical="center" wrapText="1"/>
    </xf>
    <xf numFmtId="165" fontId="9" fillId="24" borderId="2" xfId="2" applyNumberFormat="1" applyFont="1" applyFill="1" applyBorder="1" applyAlignment="1">
      <alignment horizontal="center" vertical="center"/>
    </xf>
    <xf numFmtId="0" fontId="14" fillId="24" borderId="0" xfId="0" applyFont="1" applyFill="1" applyAlignment="1">
      <alignment vertical="center"/>
    </xf>
    <xf numFmtId="0" fontId="9" fillId="24" borderId="8" xfId="2" applyFont="1" applyFill="1" applyBorder="1" applyAlignment="1">
      <alignment horizontal="right" vertical="center"/>
    </xf>
    <xf numFmtId="0" fontId="9" fillId="24" borderId="11" xfId="2" applyFont="1" applyFill="1" applyBorder="1" applyAlignment="1">
      <alignment horizontal="right" vertical="center"/>
    </xf>
    <xf numFmtId="0" fontId="0" fillId="24" borderId="0" xfId="0" applyFill="1"/>
    <xf numFmtId="0" fontId="0" fillId="24" borderId="0" xfId="0" applyFill="1" applyAlignment="1">
      <alignment horizontal="center" vertical="center"/>
    </xf>
    <xf numFmtId="1" fontId="14" fillId="0" borderId="2" xfId="0" applyNumberFormat="1" applyFont="1" applyBorder="1" applyAlignment="1">
      <alignment vertical="center"/>
    </xf>
    <xf numFmtId="0" fontId="84" fillId="0" borderId="48" xfId="0" applyFont="1" applyBorder="1" applyAlignment="1">
      <alignment horizontal="left"/>
    </xf>
    <xf numFmtId="0" fontId="84" fillId="0" borderId="48" xfId="0" applyFont="1" applyBorder="1"/>
    <xf numFmtId="0" fontId="0" fillId="0" borderId="0" xfId="0" applyAlignment="1">
      <alignment horizontal="left" indent="1"/>
    </xf>
    <xf numFmtId="0" fontId="111" fillId="0" borderId="49" xfId="0" applyFont="1" applyBorder="1" applyAlignment="1">
      <alignment horizontal="left"/>
    </xf>
    <xf numFmtId="0" fontId="111" fillId="0" borderId="49" xfId="0" applyFont="1" applyBorder="1"/>
    <xf numFmtId="0" fontId="17" fillId="24" borderId="2" xfId="2" applyFont="1" applyFill="1" applyBorder="1" applyAlignment="1">
      <alignment horizontal="center" vertical="center"/>
    </xf>
    <xf numFmtId="165" fontId="17" fillId="24" borderId="2" xfId="2" applyNumberFormat="1" applyFont="1" applyFill="1" applyBorder="1" applyAlignment="1">
      <alignment horizontal="center" vertical="center"/>
    </xf>
    <xf numFmtId="1" fontId="17" fillId="24" borderId="2" xfId="2" applyNumberFormat="1" applyFont="1" applyFill="1" applyBorder="1" applyAlignment="1">
      <alignment horizontal="center" vertical="center"/>
    </xf>
    <xf numFmtId="0" fontId="17" fillId="24" borderId="13" xfId="2" applyFont="1" applyFill="1" applyBorder="1" applyAlignment="1">
      <alignment vertical="center"/>
    </xf>
    <xf numFmtId="1" fontId="9" fillId="24" borderId="2" xfId="0" applyNumberFormat="1" applyFont="1" applyFill="1" applyBorder="1" applyAlignment="1">
      <alignment vertical="center" wrapText="1"/>
    </xf>
    <xf numFmtId="1" fontId="9" fillId="24" borderId="8" xfId="2" applyNumberFormat="1" applyFont="1" applyFill="1" applyBorder="1" applyAlignment="1">
      <alignment vertical="center"/>
    </xf>
    <xf numFmtId="1" fontId="9" fillId="24" borderId="2" xfId="2" applyNumberFormat="1" applyFont="1" applyFill="1" applyBorder="1" applyAlignment="1">
      <alignment horizontal="right" vertical="center"/>
    </xf>
    <xf numFmtId="0" fontId="9" fillId="24" borderId="8" xfId="0" applyFont="1" applyFill="1" applyBorder="1" applyAlignment="1">
      <alignment horizontal="right" vertical="center" wrapText="1"/>
    </xf>
    <xf numFmtId="1" fontId="9" fillId="24" borderId="16" xfId="2" applyNumberFormat="1" applyFont="1" applyFill="1" applyBorder="1" applyAlignment="1">
      <alignment vertical="center"/>
    </xf>
    <xf numFmtId="1" fontId="9" fillId="27" borderId="8" xfId="2" applyNumberFormat="1" applyFont="1" applyFill="1" applyBorder="1" applyAlignment="1">
      <alignment vertical="center"/>
    </xf>
    <xf numFmtId="1" fontId="9" fillId="26" borderId="8" xfId="2" applyNumberFormat="1" applyFont="1" applyFill="1" applyBorder="1" applyAlignment="1">
      <alignment vertical="center"/>
    </xf>
    <xf numFmtId="1" fontId="9" fillId="24" borderId="8" xfId="1" applyNumberFormat="1" applyFont="1" applyFill="1" applyBorder="1" applyAlignment="1" applyProtection="1">
      <alignment horizontal="right" vertical="center"/>
    </xf>
    <xf numFmtId="1" fontId="96" fillId="0" borderId="2" xfId="2" applyNumberFormat="1" applyFont="1" applyBorder="1" applyAlignment="1">
      <alignment horizontal="center" vertical="center"/>
    </xf>
    <xf numFmtId="0" fontId="96" fillId="0" borderId="2" xfId="2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12" fillId="4" borderId="2" xfId="4" applyFont="1" applyFill="1" applyBorder="1" applyAlignment="1">
      <alignment horizontal="center" vertical="center" wrapText="1"/>
    </xf>
    <xf numFmtId="0" fontId="113" fillId="4" borderId="2" xfId="4" applyFont="1" applyFill="1" applyBorder="1" applyAlignment="1">
      <alignment horizontal="center" vertical="top" wrapText="1"/>
    </xf>
    <xf numFmtId="0" fontId="113" fillId="4" borderId="1" xfId="4" applyFont="1" applyFill="1" applyBorder="1" applyAlignment="1">
      <alignment horizontal="center" vertical="top" wrapText="1"/>
    </xf>
    <xf numFmtId="0" fontId="114" fillId="4" borderId="2" xfId="4" applyFont="1" applyFill="1" applyBorder="1" applyAlignment="1">
      <alignment horizontal="center" vertical="center" wrapText="1"/>
    </xf>
    <xf numFmtId="0" fontId="14" fillId="24" borderId="2" xfId="0" applyFont="1" applyFill="1" applyBorder="1" applyAlignment="1">
      <alignment vertical="center"/>
    </xf>
    <xf numFmtId="1" fontId="14" fillId="24" borderId="2" xfId="0" applyNumberFormat="1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24" borderId="2" xfId="0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/>
    </xf>
    <xf numFmtId="0" fontId="56" fillId="3" borderId="4" xfId="3" applyFont="1" applyFill="1" applyBorder="1" applyAlignment="1">
      <alignment horizontal="center"/>
    </xf>
    <xf numFmtId="0" fontId="6" fillId="3" borderId="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0" fontId="3" fillId="14" borderId="0" xfId="2" applyFont="1" applyFill="1" applyAlignment="1">
      <alignment horizontal="center" vertical="center"/>
    </xf>
    <xf numFmtId="0" fontId="4" fillId="14" borderId="0" xfId="2" applyFont="1" applyFill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4" fillId="5" borderId="0" xfId="2" applyFont="1" applyFill="1" applyAlignment="1">
      <alignment horizontal="center" vertical="center"/>
    </xf>
    <xf numFmtId="0" fontId="70" fillId="14" borderId="1" xfId="2" applyFont="1" applyFill="1" applyBorder="1" applyAlignment="1">
      <alignment horizontal="center" vertical="center" wrapText="1"/>
    </xf>
    <xf numFmtId="0" fontId="70" fillId="14" borderId="3" xfId="2" applyFont="1" applyFill="1" applyBorder="1" applyAlignment="1">
      <alignment horizontal="center" vertical="center" wrapText="1"/>
    </xf>
    <xf numFmtId="0" fontId="70" fillId="14" borderId="1" xfId="2" applyFont="1" applyFill="1" applyBorder="1" applyAlignment="1">
      <alignment horizontal="center" vertical="center"/>
    </xf>
    <xf numFmtId="0" fontId="70" fillId="14" borderId="3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61" fillId="3" borderId="1" xfId="2" applyFont="1" applyFill="1" applyBorder="1" applyAlignment="1">
      <alignment horizontal="center" vertical="center" wrapText="1"/>
    </xf>
    <xf numFmtId="0" fontId="61" fillId="3" borderId="3" xfId="2" applyFont="1" applyFill="1" applyBorder="1" applyAlignment="1">
      <alignment horizontal="center" vertical="center" wrapText="1"/>
    </xf>
    <xf numFmtId="0" fontId="61" fillId="3" borderId="1" xfId="2" applyFont="1" applyFill="1" applyBorder="1" applyAlignment="1">
      <alignment horizontal="center" vertical="center"/>
    </xf>
    <xf numFmtId="0" fontId="61" fillId="3" borderId="3" xfId="2" applyFont="1" applyFill="1" applyBorder="1" applyAlignment="1">
      <alignment horizontal="center" vertical="center"/>
    </xf>
    <xf numFmtId="0" fontId="4" fillId="5" borderId="15" xfId="2" applyFont="1" applyFill="1" applyBorder="1" applyAlignment="1">
      <alignment horizontal="center" vertical="center"/>
    </xf>
    <xf numFmtId="0" fontId="19" fillId="5" borderId="15" xfId="2" applyFont="1" applyFill="1" applyBorder="1" applyAlignment="1">
      <alignment horizontal="center"/>
    </xf>
    <xf numFmtId="0" fontId="19" fillId="5" borderId="0" xfId="2" applyFont="1" applyFill="1" applyAlignment="1">
      <alignment horizontal="center"/>
    </xf>
    <xf numFmtId="0" fontId="12" fillId="5" borderId="15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165" fontId="13" fillId="0" borderId="7" xfId="2" applyNumberFormat="1" applyFont="1" applyBorder="1" applyAlignment="1">
      <alignment horizontal="center" vertical="center"/>
    </xf>
    <xf numFmtId="0" fontId="72" fillId="6" borderId="0" xfId="2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0" fontId="21" fillId="6" borderId="0" xfId="2" applyFont="1" applyFill="1" applyAlignment="1">
      <alignment horizontal="center" vertical="center"/>
    </xf>
    <xf numFmtId="165" fontId="13" fillId="0" borderId="7" xfId="2" applyNumberFormat="1" applyFont="1" applyBorder="1" applyAlignment="1">
      <alignment horizontal="center"/>
    </xf>
    <xf numFmtId="0" fontId="8" fillId="3" borderId="43" xfId="2" applyFont="1" applyFill="1" applyBorder="1" applyAlignment="1">
      <alignment horizontal="center" vertical="center"/>
    </xf>
    <xf numFmtId="0" fontId="8" fillId="3" borderId="28" xfId="2" applyFont="1" applyFill="1" applyBorder="1" applyAlignment="1">
      <alignment horizontal="center" vertical="center"/>
    </xf>
    <xf numFmtId="165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61" fillId="3" borderId="9" xfId="2" applyFont="1" applyFill="1" applyBorder="1" applyAlignment="1">
      <alignment horizontal="center" vertical="center"/>
    </xf>
    <xf numFmtId="0" fontId="61" fillId="3" borderId="10" xfId="2" applyFont="1" applyFill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34" fillId="0" borderId="10" xfId="0" applyFont="1" applyBorder="1" applyAlignment="1">
      <alignment vertical="center"/>
    </xf>
    <xf numFmtId="0" fontId="61" fillId="3" borderId="6" xfId="2" applyFont="1" applyFill="1" applyBorder="1" applyAlignment="1">
      <alignment horizontal="center" vertical="center" wrapText="1"/>
    </xf>
    <xf numFmtId="0" fontId="61" fillId="3" borderId="6" xfId="2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165" fontId="18" fillId="0" borderId="7" xfId="2" applyNumberFormat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/>
    </xf>
    <xf numFmtId="0" fontId="61" fillId="3" borderId="37" xfId="2" applyFont="1" applyFill="1" applyBorder="1" applyAlignment="1">
      <alignment horizontal="center" vertical="center"/>
    </xf>
    <xf numFmtId="0" fontId="61" fillId="3" borderId="33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3" borderId="25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17" xfId="2" applyFont="1" applyFill="1" applyBorder="1" applyAlignment="1">
      <alignment horizontal="center" vertical="center"/>
    </xf>
    <xf numFmtId="2" fontId="13" fillId="0" borderId="22" xfId="2" applyNumberFormat="1" applyFont="1" applyBorder="1" applyAlignment="1">
      <alignment horizontal="center" vertical="center"/>
    </xf>
    <xf numFmtId="2" fontId="18" fillId="0" borderId="22" xfId="2" applyNumberFormat="1" applyFont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0" fontId="21" fillId="14" borderId="0" xfId="2" applyFont="1" applyFill="1" applyAlignment="1">
      <alignment horizontal="center"/>
    </xf>
    <xf numFmtId="0" fontId="8" fillId="3" borderId="16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2" fillId="13" borderId="0" xfId="2" applyFont="1" applyFill="1" applyAlignment="1">
      <alignment horizontal="center" vertical="center"/>
    </xf>
    <xf numFmtId="0" fontId="6" fillId="13" borderId="0" xfId="2" applyFont="1" applyFill="1" applyAlignment="1">
      <alignment horizontal="center" vertical="center"/>
    </xf>
    <xf numFmtId="2" fontId="13" fillId="0" borderId="22" xfId="2" applyNumberFormat="1" applyFont="1" applyBorder="1" applyAlignment="1">
      <alignment horizont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61" fillId="3" borderId="8" xfId="2" applyFont="1" applyFill="1" applyBorder="1" applyAlignment="1">
      <alignment horizontal="center" vertical="center"/>
    </xf>
    <xf numFmtId="0" fontId="72" fillId="14" borderId="0" xfId="2" applyFont="1" applyFill="1" applyAlignment="1">
      <alignment horizontal="center" vertical="center"/>
    </xf>
    <xf numFmtId="0" fontId="6" fillId="14" borderId="0" xfId="2" applyFont="1" applyFill="1" applyAlignment="1">
      <alignment horizontal="center"/>
    </xf>
    <xf numFmtId="2" fontId="13" fillId="0" borderId="0" xfId="2" applyNumberFormat="1" applyFont="1" applyAlignment="1">
      <alignment horizontal="center" vertical="center"/>
    </xf>
    <xf numFmtId="0" fontId="8" fillId="16" borderId="13" xfId="2" applyFont="1" applyFill="1" applyBorder="1" applyAlignment="1">
      <alignment horizontal="center" vertical="center"/>
    </xf>
    <xf numFmtId="0" fontId="8" fillId="16" borderId="14" xfId="2" applyFont="1" applyFill="1" applyBorder="1" applyAlignment="1">
      <alignment horizontal="center" vertical="center"/>
    </xf>
    <xf numFmtId="0" fontId="8" fillId="16" borderId="11" xfId="2" applyFont="1" applyFill="1" applyBorder="1" applyAlignment="1">
      <alignment horizontal="center" vertical="center"/>
    </xf>
    <xf numFmtId="0" fontId="8" fillId="16" borderId="12" xfId="2" applyFont="1" applyFill="1" applyBorder="1" applyAlignment="1">
      <alignment horizontal="center" vertical="center"/>
    </xf>
    <xf numFmtId="0" fontId="61" fillId="16" borderId="11" xfId="2" applyFont="1" applyFill="1" applyBorder="1" applyAlignment="1">
      <alignment horizontal="center" vertical="center"/>
    </xf>
    <xf numFmtId="0" fontId="61" fillId="16" borderId="29" xfId="2" applyFont="1" applyFill="1" applyBorder="1" applyAlignment="1">
      <alignment horizontal="center" vertical="center"/>
    </xf>
    <xf numFmtId="165" fontId="18" fillId="0" borderId="22" xfId="2" applyNumberFormat="1" applyFont="1" applyBorder="1" applyAlignment="1">
      <alignment horizontal="center" vertical="center"/>
    </xf>
    <xf numFmtId="165" fontId="18" fillId="4" borderId="22" xfId="2" applyNumberFormat="1" applyFont="1" applyFill="1" applyBorder="1" applyAlignment="1">
      <alignment horizontal="center" vertical="center"/>
    </xf>
    <xf numFmtId="0" fontId="61" fillId="16" borderId="12" xfId="2" applyFont="1" applyFill="1" applyBorder="1" applyAlignment="1">
      <alignment horizontal="center" vertical="center"/>
    </xf>
    <xf numFmtId="0" fontId="61" fillId="16" borderId="9" xfId="2" applyFont="1" applyFill="1" applyBorder="1" applyAlignment="1">
      <alignment horizontal="center"/>
    </xf>
    <xf numFmtId="0" fontId="61" fillId="16" borderId="10" xfId="2" applyFont="1" applyFill="1" applyBorder="1" applyAlignment="1">
      <alignment horizontal="center"/>
    </xf>
    <xf numFmtId="0" fontId="18" fillId="0" borderId="22" xfId="2" applyFont="1" applyBorder="1" applyAlignment="1">
      <alignment horizontal="center" vertical="center"/>
    </xf>
    <xf numFmtId="0" fontId="8" fillId="16" borderId="35" xfId="2" applyFont="1" applyFill="1" applyBorder="1" applyAlignment="1">
      <alignment horizontal="center" vertical="center"/>
    </xf>
    <xf numFmtId="0" fontId="8" fillId="16" borderId="36" xfId="2" applyFont="1" applyFill="1" applyBorder="1" applyAlignment="1">
      <alignment horizontal="center" vertical="center"/>
    </xf>
    <xf numFmtId="0" fontId="8" fillId="16" borderId="16" xfId="2" applyFont="1" applyFill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8" fillId="16" borderId="25" xfId="2" applyFont="1" applyFill="1" applyBorder="1" applyAlignment="1">
      <alignment horizontal="center" vertical="center"/>
    </xf>
    <xf numFmtId="0" fontId="8" fillId="16" borderId="37" xfId="2" applyFont="1" applyFill="1" applyBorder="1" applyAlignment="1">
      <alignment horizontal="center" vertical="center"/>
    </xf>
    <xf numFmtId="0" fontId="8" fillId="16" borderId="33" xfId="2" applyFont="1" applyFill="1" applyBorder="1" applyAlignment="1">
      <alignment horizontal="center" vertical="center"/>
    </xf>
    <xf numFmtId="0" fontId="8" fillId="16" borderId="29" xfId="2" applyFont="1" applyFill="1" applyBorder="1" applyAlignment="1">
      <alignment horizontal="center" vertical="center"/>
    </xf>
    <xf numFmtId="0" fontId="8" fillId="16" borderId="20" xfId="2" applyFont="1" applyFill="1" applyBorder="1" applyAlignment="1">
      <alignment horizontal="center" vertical="center"/>
    </xf>
    <xf numFmtId="165" fontId="18" fillId="11" borderId="22" xfId="2" applyNumberFormat="1" applyFont="1" applyFill="1" applyBorder="1" applyAlignment="1">
      <alignment horizontal="center" vertical="center"/>
    </xf>
    <xf numFmtId="165" fontId="106" fillId="24" borderId="46" xfId="2" applyNumberFormat="1" applyFont="1" applyFill="1" applyBorder="1" applyAlignment="1">
      <alignment horizontal="left" vertical="center"/>
    </xf>
    <xf numFmtId="165" fontId="106" fillId="24" borderId="47" xfId="2" applyNumberFormat="1" applyFont="1" applyFill="1" applyBorder="1" applyAlignment="1">
      <alignment horizontal="left" vertical="center"/>
    </xf>
    <xf numFmtId="165" fontId="18" fillId="0" borderId="25" xfId="2" applyNumberFormat="1" applyFont="1" applyBorder="1" applyAlignment="1">
      <alignment horizontal="center" vertical="center"/>
    </xf>
    <xf numFmtId="0" fontId="72" fillId="22" borderId="0" xfId="2" applyFont="1" applyFill="1" applyAlignment="1">
      <alignment horizontal="center" vertical="center"/>
    </xf>
    <xf numFmtId="0" fontId="6" fillId="22" borderId="0" xfId="2" applyFont="1" applyFill="1" applyAlignment="1">
      <alignment horizontal="center" vertical="center"/>
    </xf>
    <xf numFmtId="0" fontId="21" fillId="23" borderId="0" xfId="2" applyFont="1" applyFill="1" applyAlignment="1">
      <alignment horizontal="center" vertical="center"/>
    </xf>
    <xf numFmtId="165" fontId="8" fillId="4" borderId="22" xfId="2" applyNumberFormat="1" applyFont="1" applyFill="1" applyBorder="1" applyAlignment="1">
      <alignment horizontal="center"/>
    </xf>
    <xf numFmtId="165" fontId="8" fillId="4" borderId="22" xfId="2" applyNumberFormat="1" applyFont="1" applyFill="1" applyBorder="1" applyAlignment="1">
      <alignment horizontal="center" vertical="center"/>
    </xf>
    <xf numFmtId="0" fontId="8" fillId="16" borderId="17" xfId="2" applyFont="1" applyFill="1" applyBorder="1" applyAlignment="1">
      <alignment horizontal="center" vertical="center"/>
    </xf>
    <xf numFmtId="0" fontId="8" fillId="16" borderId="38" xfId="2" applyFont="1" applyFill="1" applyBorder="1" applyAlignment="1">
      <alignment horizontal="center" vertical="center"/>
    </xf>
    <xf numFmtId="0" fontId="8" fillId="16" borderId="39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2" fillId="15" borderId="0" xfId="2" applyFont="1" applyFill="1" applyAlignment="1">
      <alignment horizontal="center" vertical="center"/>
    </xf>
    <xf numFmtId="0" fontId="6" fillId="17" borderId="0" xfId="2" applyFont="1" applyFill="1" applyAlignment="1">
      <alignment horizontal="center"/>
    </xf>
    <xf numFmtId="0" fontId="21" fillId="17" borderId="0" xfId="2" applyFont="1" applyFill="1" applyAlignment="1">
      <alignment horizontal="center"/>
    </xf>
    <xf numFmtId="0" fontId="77" fillId="3" borderId="13" xfId="2" applyFont="1" applyFill="1" applyBorder="1" applyAlignment="1">
      <alignment horizontal="center" vertical="center"/>
    </xf>
    <xf numFmtId="0" fontId="77" fillId="3" borderId="14" xfId="2" applyFont="1" applyFill="1" applyBorder="1" applyAlignment="1">
      <alignment horizontal="center" vertical="center"/>
    </xf>
    <xf numFmtId="0" fontId="33" fillId="21" borderId="13" xfId="2" applyFont="1" applyFill="1" applyBorder="1" applyAlignment="1">
      <alignment horizontal="center" vertical="center"/>
    </xf>
    <xf numFmtId="0" fontId="33" fillId="21" borderId="14" xfId="2" applyFont="1" applyFill="1" applyBorder="1" applyAlignment="1">
      <alignment horizontal="center" vertical="center"/>
    </xf>
    <xf numFmtId="0" fontId="33" fillId="3" borderId="11" xfId="2" applyFont="1" applyFill="1" applyBorder="1" applyAlignment="1">
      <alignment horizontal="center" vertical="center" wrapText="1"/>
    </xf>
    <xf numFmtId="0" fontId="33" fillId="3" borderId="29" xfId="2" applyFont="1" applyFill="1" applyBorder="1" applyAlignment="1">
      <alignment horizontal="center" vertical="center" wrapText="1"/>
    </xf>
    <xf numFmtId="0" fontId="33" fillId="3" borderId="11" xfId="2" applyFont="1" applyFill="1" applyBorder="1" applyAlignment="1">
      <alignment horizontal="center" vertical="center"/>
    </xf>
    <xf numFmtId="0" fontId="33" fillId="3" borderId="29" xfId="2" applyFont="1" applyFill="1" applyBorder="1" applyAlignment="1">
      <alignment horizontal="center" vertical="center"/>
    </xf>
    <xf numFmtId="0" fontId="33" fillId="3" borderId="40" xfId="2" applyFont="1" applyFill="1" applyBorder="1" applyAlignment="1">
      <alignment horizontal="center" vertical="center"/>
    </xf>
    <xf numFmtId="0" fontId="33" fillId="3" borderId="41" xfId="2" applyFont="1" applyFill="1" applyBorder="1" applyAlignment="1">
      <alignment horizontal="center" vertical="center"/>
    </xf>
    <xf numFmtId="0" fontId="33" fillId="3" borderId="12" xfId="2" applyFont="1" applyFill="1" applyBorder="1" applyAlignment="1">
      <alignment horizontal="center" vertical="center" wrapText="1"/>
    </xf>
    <xf numFmtId="0" fontId="33" fillId="3" borderId="12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 vertical="center"/>
    </xf>
    <xf numFmtId="0" fontId="33" fillId="3" borderId="14" xfId="2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75" fillId="3" borderId="0" xfId="2" applyFont="1" applyFill="1" applyAlignment="1">
      <alignment horizontal="center" vertical="center"/>
    </xf>
    <xf numFmtId="0" fontId="33" fillId="3" borderId="1" xfId="2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/>
    </xf>
    <xf numFmtId="0" fontId="33" fillId="3" borderId="38" xfId="2" applyFont="1" applyFill="1" applyBorder="1" applyAlignment="1">
      <alignment horizontal="center" vertical="center"/>
    </xf>
    <xf numFmtId="0" fontId="33" fillId="3" borderId="39" xfId="2" applyFont="1" applyFill="1" applyBorder="1" applyAlignment="1">
      <alignment horizontal="center" vertical="center"/>
    </xf>
    <xf numFmtId="0" fontId="31" fillId="10" borderId="22" xfId="2" applyFont="1" applyFill="1" applyBorder="1" applyAlignment="1">
      <alignment horizontal="center" vertical="center"/>
    </xf>
    <xf numFmtId="0" fontId="74" fillId="19" borderId="0" xfId="2" applyFont="1" applyFill="1" applyAlignment="1">
      <alignment horizontal="center" vertical="center"/>
    </xf>
    <xf numFmtId="0" fontId="29" fillId="19" borderId="0" xfId="2" applyFont="1" applyFill="1" applyAlignment="1">
      <alignment horizontal="center" vertical="center"/>
    </xf>
    <xf numFmtId="0" fontId="75" fillId="19" borderId="0" xfId="2" applyFont="1" applyFill="1" applyAlignment="1">
      <alignment horizontal="center" vertical="center"/>
    </xf>
    <xf numFmtId="0" fontId="31" fillId="0" borderId="22" xfId="2" applyFont="1" applyBorder="1" applyAlignment="1">
      <alignment horizontal="center"/>
    </xf>
    <xf numFmtId="0" fontId="31" fillId="10" borderId="7" xfId="2" applyFont="1" applyFill="1" applyBorder="1" applyAlignment="1">
      <alignment horizontal="center" vertical="center"/>
    </xf>
    <xf numFmtId="0" fontId="33" fillId="3" borderId="16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5" xfId="2" applyFont="1" applyFill="1" applyBorder="1" applyAlignment="1">
      <alignment horizontal="center" vertical="center"/>
    </xf>
    <xf numFmtId="0" fontId="33" fillId="3" borderId="36" xfId="2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3" fillId="21" borderId="17" xfId="2" applyFont="1" applyFill="1" applyBorder="1" applyAlignment="1">
      <alignment horizontal="center" vertical="center"/>
    </xf>
    <xf numFmtId="0" fontId="33" fillId="21" borderId="25" xfId="2" applyFont="1" applyFill="1" applyBorder="1" applyAlignment="1">
      <alignment horizontal="center" vertical="center"/>
    </xf>
    <xf numFmtId="0" fontId="33" fillId="21" borderId="44" xfId="2" applyFont="1" applyFill="1" applyBorder="1" applyAlignment="1">
      <alignment horizontal="center" vertical="center"/>
    </xf>
    <xf numFmtId="0" fontId="33" fillId="21" borderId="23" xfId="2" applyFont="1" applyFill="1" applyBorder="1" applyAlignment="1">
      <alignment horizontal="center" vertical="center"/>
    </xf>
    <xf numFmtId="0" fontId="33" fillId="3" borderId="17" xfId="2" applyFont="1" applyFill="1" applyBorder="1" applyAlignment="1">
      <alignment horizontal="center" vertical="center"/>
    </xf>
    <xf numFmtId="0" fontId="33" fillId="3" borderId="25" xfId="2" applyFont="1" applyFill="1" applyBorder="1" applyAlignment="1">
      <alignment horizontal="center" vertical="center"/>
    </xf>
    <xf numFmtId="0" fontId="77" fillId="3" borderId="11" xfId="2" applyFont="1" applyFill="1" applyBorder="1" applyAlignment="1">
      <alignment horizontal="center" vertical="center" wrapText="1"/>
    </xf>
    <xf numFmtId="0" fontId="77" fillId="3" borderId="12" xfId="2" applyFont="1" applyFill="1" applyBorder="1" applyAlignment="1">
      <alignment horizontal="center" vertical="center" wrapText="1"/>
    </xf>
    <xf numFmtId="0" fontId="77" fillId="3" borderId="11" xfId="2" applyFont="1" applyFill="1" applyBorder="1" applyAlignment="1">
      <alignment horizontal="center" vertical="center"/>
    </xf>
    <xf numFmtId="0" fontId="77" fillId="3" borderId="12" xfId="2" applyFont="1" applyFill="1" applyBorder="1" applyAlignment="1">
      <alignment horizontal="center" vertical="center"/>
    </xf>
    <xf numFmtId="0" fontId="30" fillId="3" borderId="0" xfId="2" applyFont="1" applyFill="1" applyAlignment="1">
      <alignment horizontal="center" vertical="center"/>
    </xf>
    <xf numFmtId="0" fontId="76" fillId="3" borderId="0" xfId="2" applyFont="1" applyFill="1" applyAlignment="1">
      <alignment horizontal="center" vertical="center"/>
    </xf>
    <xf numFmtId="0" fontId="33" fillId="0" borderId="22" xfId="2" applyFont="1" applyBorder="1" applyAlignment="1">
      <alignment horizontal="center" vertical="center"/>
    </xf>
    <xf numFmtId="165" fontId="39" fillId="0" borderId="22" xfId="2" applyNumberFormat="1" applyFont="1" applyBorder="1" applyAlignment="1">
      <alignment horizontal="center" vertical="center"/>
    </xf>
    <xf numFmtId="0" fontId="77" fillId="3" borderId="8" xfId="2" applyFont="1" applyFill="1" applyBorder="1" applyAlignment="1">
      <alignment horizontal="center" vertical="center" wrapText="1"/>
    </xf>
    <xf numFmtId="0" fontId="74" fillId="3" borderId="0" xfId="2" applyFont="1" applyFill="1" applyAlignment="1">
      <alignment horizontal="center" vertical="center"/>
    </xf>
    <xf numFmtId="0" fontId="33" fillId="3" borderId="42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/>
    </xf>
    <xf numFmtId="0" fontId="33" fillId="3" borderId="14" xfId="2" applyFont="1" applyFill="1" applyBorder="1" applyAlignment="1">
      <alignment horizontal="center"/>
    </xf>
    <xf numFmtId="0" fontId="35" fillId="0" borderId="27" xfId="2" applyFont="1" applyBorder="1" applyAlignment="1">
      <alignment horizontal="center" vertical="center"/>
    </xf>
    <xf numFmtId="165" fontId="33" fillId="3" borderId="13" xfId="2" applyNumberFormat="1" applyFont="1" applyFill="1" applyBorder="1" applyAlignment="1">
      <alignment horizontal="center" vertical="center"/>
    </xf>
    <xf numFmtId="165" fontId="33" fillId="3" borderId="14" xfId="2" applyNumberFormat="1" applyFont="1" applyFill="1" applyBorder="1" applyAlignment="1">
      <alignment horizontal="center" vertical="center"/>
    </xf>
    <xf numFmtId="0" fontId="109" fillId="24" borderId="27" xfId="2" applyFont="1" applyFill="1" applyBorder="1" applyAlignment="1">
      <alignment horizontal="center" vertical="center"/>
    </xf>
    <xf numFmtId="0" fontId="108" fillId="24" borderId="27" xfId="2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9" fillId="0" borderId="22" xfId="2" applyFont="1" applyBorder="1" applyAlignment="1">
      <alignment horizontal="center" vertical="center"/>
    </xf>
    <xf numFmtId="165" fontId="39" fillId="0" borderId="0" xfId="2" applyNumberFormat="1" applyFont="1" applyAlignment="1">
      <alignment horizontal="center" vertical="center"/>
    </xf>
    <xf numFmtId="0" fontId="33" fillId="3" borderId="20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72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0" fontId="33" fillId="20" borderId="11" xfId="2" applyFont="1" applyFill="1" applyBorder="1" applyAlignment="1">
      <alignment horizontal="center" vertical="center"/>
    </xf>
    <xf numFmtId="0" fontId="33" fillId="20" borderId="12" xfId="2" applyFont="1" applyFill="1" applyBorder="1" applyAlignment="1">
      <alignment horizontal="center" vertical="center"/>
    </xf>
    <xf numFmtId="0" fontId="33" fillId="3" borderId="32" xfId="2" applyFont="1" applyFill="1" applyBorder="1" applyAlignment="1">
      <alignment horizontal="center" vertical="center"/>
    </xf>
    <xf numFmtId="0" fontId="33" fillId="3" borderId="33" xfId="2" applyFont="1" applyFill="1" applyBorder="1" applyAlignment="1">
      <alignment horizontal="center" vertical="center"/>
    </xf>
    <xf numFmtId="0" fontId="33" fillId="20" borderId="2" xfId="2" applyFont="1" applyFill="1" applyBorder="1" applyAlignment="1">
      <alignment horizontal="center" vertical="center"/>
    </xf>
    <xf numFmtId="0" fontId="33" fillId="3" borderId="31" xfId="2" applyFont="1" applyFill="1" applyBorder="1" applyAlignment="1">
      <alignment horizontal="center" vertical="center"/>
    </xf>
    <xf numFmtId="165" fontId="106" fillId="24" borderId="46" xfId="2" applyNumberFormat="1" applyFont="1" applyFill="1" applyBorder="1" applyAlignment="1">
      <alignment horizontal="center" vertical="center"/>
    </xf>
    <xf numFmtId="165" fontId="106" fillId="24" borderId="47" xfId="2" applyNumberFormat="1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/>
    </xf>
    <xf numFmtId="0" fontId="21" fillId="5" borderId="15" xfId="2" applyFont="1" applyFill="1" applyBorder="1" applyAlignment="1">
      <alignment horizontal="center" vertical="center"/>
    </xf>
    <xf numFmtId="0" fontId="21" fillId="5" borderId="0" xfId="2" applyFont="1" applyFill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18" fillId="3" borderId="9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/>
    </xf>
    <xf numFmtId="0" fontId="80" fillId="5" borderId="15" xfId="2" applyFont="1" applyFill="1" applyBorder="1" applyAlignment="1">
      <alignment horizontal="center"/>
    </xf>
    <xf numFmtId="0" fontId="80" fillId="5" borderId="0" xfId="2" applyFont="1" applyFill="1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center"/>
    </xf>
    <xf numFmtId="165" fontId="18" fillId="0" borderId="7" xfId="2" applyNumberFormat="1" applyFont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8" fillId="3" borderId="35" xfId="2" applyFont="1" applyFill="1" applyBorder="1" applyAlignment="1">
      <alignment horizontal="center" vertical="center"/>
    </xf>
    <xf numFmtId="0" fontId="8" fillId="3" borderId="36" xfId="2" applyFont="1" applyFill="1" applyBorder="1" applyAlignment="1">
      <alignment horizontal="center" vertical="center"/>
    </xf>
    <xf numFmtId="0" fontId="8" fillId="3" borderId="35" xfId="2" applyFont="1" applyFill="1" applyBorder="1" applyAlignment="1">
      <alignment horizontal="center"/>
    </xf>
    <xf numFmtId="0" fontId="8" fillId="3" borderId="36" xfId="2" applyFont="1" applyFill="1" applyBorder="1" applyAlignment="1">
      <alignment horizontal="center"/>
    </xf>
    <xf numFmtId="0" fontId="40" fillId="5" borderId="0" xfId="0" applyFont="1" applyFill="1" applyAlignment="1">
      <alignment horizontal="center"/>
    </xf>
    <xf numFmtId="0" fontId="4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21" fillId="3" borderId="3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/>
    </xf>
    <xf numFmtId="0" fontId="49" fillId="3" borderId="2" xfId="3" applyFont="1" applyFill="1" applyBorder="1" applyAlignment="1">
      <alignment horizontal="center"/>
    </xf>
    <xf numFmtId="0" fontId="56" fillId="3" borderId="1" xfId="3" applyFont="1" applyFill="1" applyBorder="1" applyAlignment="1">
      <alignment horizontal="center" vertical="center" wrapText="1"/>
    </xf>
    <xf numFmtId="0" fontId="56" fillId="3" borderId="3" xfId="3" applyFont="1" applyFill="1" applyBorder="1" applyAlignment="1">
      <alignment horizontal="center" vertical="center" wrapText="1"/>
    </xf>
    <xf numFmtId="0" fontId="56" fillId="3" borderId="2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21" fillId="0" borderId="4" xfId="3" applyFont="1" applyBorder="1" applyAlignment="1">
      <alignment horizontal="center"/>
    </xf>
    <xf numFmtId="0" fontId="21" fillId="0" borderId="10" xfId="3" applyFont="1" applyBorder="1" applyAlignment="1">
      <alignment horizontal="center"/>
    </xf>
    <xf numFmtId="0" fontId="25" fillId="0" borderId="9" xfId="3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28" fillId="3" borderId="9" xfId="3" applyFont="1" applyFill="1" applyBorder="1" applyAlignment="1">
      <alignment horizontal="center" vertical="center"/>
    </xf>
    <xf numFmtId="0" fontId="45" fillId="3" borderId="10" xfId="3" applyFont="1" applyFill="1" applyBorder="1" applyAlignment="1">
      <alignment horizontal="center" vertical="center"/>
    </xf>
    <xf numFmtId="0" fontId="98" fillId="3" borderId="0" xfId="0" applyFont="1" applyFill="1" applyAlignment="1">
      <alignment horizontal="center" vertical="center"/>
    </xf>
    <xf numFmtId="0" fontId="48" fillId="0" borderId="9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0" fontId="56" fillId="3" borderId="2" xfId="3" applyFont="1" applyFill="1" applyBorder="1" applyAlignment="1">
      <alignment horizontal="center"/>
    </xf>
    <xf numFmtId="0" fontId="28" fillId="0" borderId="9" xfId="3" applyFont="1" applyBorder="1" applyAlignment="1">
      <alignment horizontal="center"/>
    </xf>
    <xf numFmtId="0" fontId="28" fillId="0" borderId="4" xfId="3" applyFont="1" applyBorder="1" applyAlignment="1">
      <alignment horizontal="center"/>
    </xf>
    <xf numFmtId="0" fontId="28" fillId="0" borderId="10" xfId="3" applyFont="1" applyBorder="1" applyAlignment="1">
      <alignment horizontal="center"/>
    </xf>
    <xf numFmtId="0" fontId="30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/>
    </xf>
    <xf numFmtId="0" fontId="21" fillId="3" borderId="2" xfId="3" applyFont="1" applyFill="1" applyBorder="1" applyAlignment="1">
      <alignment horizontal="center"/>
    </xf>
    <xf numFmtId="0" fontId="50" fillId="3" borderId="2" xfId="3" applyFont="1" applyFill="1" applyBorder="1" applyAlignment="1">
      <alignment horizontal="center"/>
    </xf>
    <xf numFmtId="0" fontId="99" fillId="3" borderId="7" xfId="0" applyFont="1" applyFill="1" applyBorder="1" applyAlignment="1">
      <alignment horizontal="center" vertical="center"/>
    </xf>
    <xf numFmtId="0" fontId="45" fillId="3" borderId="1" xfId="3" applyFont="1" applyFill="1" applyBorder="1" applyAlignment="1">
      <alignment horizontal="center" vertical="center" wrapText="1"/>
    </xf>
    <xf numFmtId="0" fontId="45" fillId="3" borderId="3" xfId="3" applyFont="1" applyFill="1" applyBorder="1" applyAlignment="1">
      <alignment horizontal="center" vertical="center" wrapText="1"/>
    </xf>
    <xf numFmtId="0" fontId="45" fillId="3" borderId="2" xfId="3" applyFont="1" applyFill="1" applyBorder="1" applyAlignment="1">
      <alignment horizontal="center" vertical="center" wrapText="1"/>
    </xf>
    <xf numFmtId="0" fontId="21" fillId="3" borderId="9" xfId="3" applyFont="1" applyFill="1" applyBorder="1" applyAlignment="1">
      <alignment horizontal="center" vertical="center"/>
    </xf>
    <xf numFmtId="0" fontId="21" fillId="3" borderId="10" xfId="3" applyFont="1" applyFill="1" applyBorder="1" applyAlignment="1">
      <alignment horizontal="center" vertical="center"/>
    </xf>
    <xf numFmtId="0" fontId="59" fillId="3" borderId="0" xfId="0" applyFont="1" applyFill="1" applyAlignment="1">
      <alignment horizontal="center" vertical="center"/>
    </xf>
    <xf numFmtId="0" fontId="67" fillId="3" borderId="37" xfId="0" applyFont="1" applyFill="1" applyBorder="1" applyAlignment="1">
      <alignment horizontal="center"/>
    </xf>
    <xf numFmtId="0" fontId="67" fillId="3" borderId="7" xfId="0" applyFont="1" applyFill="1" applyBorder="1" applyAlignment="1">
      <alignment horizontal="center"/>
    </xf>
    <xf numFmtId="0" fontId="67" fillId="3" borderId="33" xfId="0" applyFont="1" applyFill="1" applyBorder="1" applyAlignment="1">
      <alignment horizontal="center"/>
    </xf>
    <xf numFmtId="0" fontId="3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60" fillId="3" borderId="1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/>
    </xf>
    <xf numFmtId="0" fontId="13" fillId="3" borderId="9" xfId="3" applyFont="1" applyFill="1" applyBorder="1" applyAlignment="1">
      <alignment horizontal="center"/>
    </xf>
    <xf numFmtId="0" fontId="13" fillId="3" borderId="10" xfId="3" applyFont="1" applyFill="1" applyBorder="1" applyAlignment="1">
      <alignment horizontal="center"/>
    </xf>
    <xf numFmtId="15" fontId="6" fillId="2" borderId="7" xfId="2" applyNumberFormat="1" applyFont="1" applyFill="1" applyBorder="1" applyAlignment="1">
      <alignment horizontal="center" vertical="center"/>
    </xf>
    <xf numFmtId="0" fontId="84" fillId="0" borderId="0" xfId="0" applyFont="1" applyAlignment="1">
      <alignment horizontal="left"/>
    </xf>
    <xf numFmtId="0" fontId="85" fillId="3" borderId="1" xfId="3" applyFont="1" applyFill="1" applyBorder="1" applyAlignment="1">
      <alignment horizontal="center" vertical="center" textRotation="90" wrapText="1"/>
    </xf>
    <xf numFmtId="0" fontId="85" fillId="3" borderId="3" xfId="3" applyFont="1" applyFill="1" applyBorder="1" applyAlignment="1">
      <alignment horizontal="center" vertical="center" textRotation="90" wrapText="1"/>
    </xf>
    <xf numFmtId="0" fontId="85" fillId="3" borderId="1" xfId="3" applyFont="1" applyFill="1" applyBorder="1" applyAlignment="1">
      <alignment horizontal="center" vertical="center" wrapText="1"/>
    </xf>
    <xf numFmtId="0" fontId="85" fillId="3" borderId="3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0" fontId="45" fillId="0" borderId="9" xfId="3" applyFont="1" applyBorder="1" applyAlignment="1">
      <alignment horizontal="left"/>
    </xf>
    <xf numFmtId="0" fontId="28" fillId="0" borderId="4" xfId="3" applyFont="1" applyBorder="1" applyAlignment="1">
      <alignment horizontal="left"/>
    </xf>
    <xf numFmtId="0" fontId="28" fillId="0" borderId="10" xfId="3" applyFont="1" applyBorder="1" applyAlignment="1">
      <alignment horizontal="left"/>
    </xf>
    <xf numFmtId="15" fontId="47" fillId="3" borderId="0" xfId="0" applyNumberFormat="1" applyFont="1" applyFill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/>
    </xf>
    <xf numFmtId="0" fontId="67" fillId="3" borderId="10" xfId="0" applyFont="1" applyFill="1" applyBorder="1" applyAlignment="1">
      <alignment horizontal="center"/>
    </xf>
    <xf numFmtId="0" fontId="85" fillId="0" borderId="9" xfId="3" applyFont="1" applyBorder="1" applyAlignment="1">
      <alignment horizontal="center" vertical="center"/>
    </xf>
    <xf numFmtId="0" fontId="85" fillId="0" borderId="4" xfId="3" applyFont="1" applyBorder="1" applyAlignment="1">
      <alignment horizontal="center" vertical="center"/>
    </xf>
    <xf numFmtId="0" fontId="85" fillId="0" borderId="10" xfId="3" applyFont="1" applyBorder="1" applyAlignment="1">
      <alignment horizontal="center" vertical="center"/>
    </xf>
    <xf numFmtId="0" fontId="49" fillId="3" borderId="1" xfId="3" applyFont="1" applyFill="1" applyBorder="1" applyAlignment="1">
      <alignment horizontal="center" vertical="center" wrapText="1"/>
    </xf>
    <xf numFmtId="0" fontId="49" fillId="3" borderId="6" xfId="3" applyFont="1" applyFill="1" applyBorder="1" applyAlignment="1">
      <alignment horizontal="center" vertical="center" wrapText="1"/>
    </xf>
    <xf numFmtId="0" fontId="49" fillId="3" borderId="3" xfId="3" applyFont="1" applyFill="1" applyBorder="1" applyAlignment="1">
      <alignment horizontal="center" vertical="center" wrapText="1"/>
    </xf>
    <xf numFmtId="0" fontId="93" fillId="3" borderId="1" xfId="3" applyFont="1" applyFill="1" applyBorder="1" applyAlignment="1">
      <alignment horizontal="center" vertical="center" wrapText="1"/>
    </xf>
    <xf numFmtId="0" fontId="93" fillId="3" borderId="6" xfId="3" applyFont="1" applyFill="1" applyBorder="1" applyAlignment="1">
      <alignment horizontal="center" vertical="center" wrapText="1"/>
    </xf>
    <xf numFmtId="0" fontId="93" fillId="3" borderId="3" xfId="3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center" vertical="center"/>
    </xf>
    <xf numFmtId="0" fontId="93" fillId="3" borderId="2" xfId="3" applyFont="1" applyFill="1" applyBorder="1" applyAlignment="1">
      <alignment horizontal="center" vertical="center"/>
    </xf>
    <xf numFmtId="0" fontId="85" fillId="3" borderId="9" xfId="3" applyFont="1" applyFill="1" applyBorder="1" applyAlignment="1">
      <alignment horizontal="center" vertical="center"/>
    </xf>
    <xf numFmtId="0" fontId="85" fillId="3" borderId="4" xfId="3" applyFont="1" applyFill="1" applyBorder="1" applyAlignment="1">
      <alignment horizontal="center" vertical="center"/>
    </xf>
    <xf numFmtId="0" fontId="85" fillId="3" borderId="10" xfId="3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4"/>
    <cellStyle name="Normal_Sarni No. Eight" xfId="3"/>
  </cellStyles>
  <dxfs count="0"/>
  <tableStyles count="0" defaultTableStyle="TableStyleMedium2" defaultPivotStyle="PivotStyleLight16"/>
  <colors>
    <mruColors>
      <color rgb="FF889AC2"/>
      <color rgb="FFDFE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664</xdr:row>
      <xdr:rowOff>41347</xdr:rowOff>
    </xdr:from>
    <xdr:ext cx="4571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 rot="20776298" flipV="1">
          <a:off x="11144250" y="133486597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tx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11</xdr:col>
      <xdr:colOff>0</xdr:colOff>
      <xdr:row>111</xdr:row>
      <xdr:rowOff>48861</xdr:rowOff>
    </xdr:from>
    <xdr:ext cx="45719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rot="21212784" flipH="1">
          <a:off x="20672656" y="1956558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9</xdr:col>
      <xdr:colOff>0</xdr:colOff>
      <xdr:row>111</xdr:row>
      <xdr:rowOff>48861</xdr:rowOff>
    </xdr:from>
    <xdr:ext cx="45719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rot="21212784" flipH="1">
          <a:off x="11696700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="115" zoomScaleNormal="115" zoomScaleSheetLayoutView="80" workbookViewId="0">
      <selection activeCell="E24" sqref="E24"/>
    </sheetView>
  </sheetViews>
  <sheetFormatPr defaultRowHeight="15" x14ac:dyDescent="0.25"/>
  <cols>
    <col min="1" max="1" width="5.5703125" customWidth="1"/>
    <col min="2" max="2" width="25.5703125" customWidth="1"/>
    <col min="3" max="3" width="9.7109375" customWidth="1"/>
    <col min="4" max="4" width="12.7109375" customWidth="1"/>
    <col min="5" max="5" width="16" customWidth="1"/>
    <col min="6" max="6" width="18.140625" customWidth="1"/>
    <col min="7" max="7" width="19.85546875" customWidth="1"/>
    <col min="8" max="8" width="15" customWidth="1"/>
    <col min="9" max="9" width="6.28515625" customWidth="1"/>
    <col min="10" max="10" width="16.5703125" customWidth="1"/>
    <col min="11" max="11" width="9.28515625" customWidth="1"/>
    <col min="12" max="12" width="9" customWidth="1"/>
    <col min="13" max="13" width="10.5703125" customWidth="1"/>
    <col min="14" max="14" width="11.5703125" customWidth="1"/>
    <col min="15" max="15" width="12.42578125" customWidth="1"/>
    <col min="16" max="16" width="7.5703125" customWidth="1"/>
  </cols>
  <sheetData>
    <row r="1" spans="1:8" ht="34.5" x14ac:dyDescent="0.25">
      <c r="A1" s="1111" t="s">
        <v>0</v>
      </c>
      <c r="B1" s="1111"/>
      <c r="C1" s="1111"/>
      <c r="D1" s="1111"/>
      <c r="E1" s="1111"/>
      <c r="F1" s="1111"/>
      <c r="G1" s="1111"/>
      <c r="H1" s="1111"/>
    </row>
    <row r="2" spans="1:8" ht="27" x14ac:dyDescent="0.25">
      <c r="A2" s="1112" t="s">
        <v>1</v>
      </c>
      <c r="B2" s="1112"/>
      <c r="C2" s="1112"/>
      <c r="D2" s="1112"/>
      <c r="E2" s="1112"/>
      <c r="F2" s="1112"/>
      <c r="G2" s="1112"/>
      <c r="H2" s="1112"/>
    </row>
    <row r="3" spans="1:8" ht="25.5" x14ac:dyDescent="0.25">
      <c r="A3" s="1113" t="s">
        <v>656</v>
      </c>
      <c r="B3" s="1113"/>
      <c r="C3" s="1113"/>
      <c r="D3" s="1113"/>
      <c r="E3" s="1113"/>
      <c r="F3" s="1113"/>
      <c r="G3" s="1113"/>
      <c r="H3" s="1113"/>
    </row>
    <row r="4" spans="1:8" ht="25.5" x14ac:dyDescent="0.25">
      <c r="A4" s="1114"/>
      <c r="B4" s="1114"/>
      <c r="C4" s="1114"/>
      <c r="D4" s="1114"/>
      <c r="E4" s="1114"/>
      <c r="F4" s="1114"/>
      <c r="G4" s="1114"/>
      <c r="H4" s="1114"/>
    </row>
    <row r="5" spans="1:8" ht="16.5" customHeight="1" x14ac:dyDescent="0.25">
      <c r="A5" s="1109" t="s">
        <v>2</v>
      </c>
      <c r="B5" s="1107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customHeight="1" x14ac:dyDescent="0.25">
      <c r="A6" s="1110"/>
      <c r="B6" s="1108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1.75" customHeight="1" x14ac:dyDescent="0.35">
      <c r="A7" s="699" t="s">
        <v>14</v>
      </c>
      <c r="B7" s="700"/>
      <c r="C7" s="701"/>
      <c r="D7" s="701"/>
      <c r="E7" s="701"/>
      <c r="F7" s="701"/>
      <c r="G7" s="701"/>
      <c r="H7" s="701"/>
    </row>
    <row r="8" spans="1:8" s="399" customFormat="1" ht="21.75" customHeight="1" x14ac:dyDescent="0.25">
      <c r="A8" s="766">
        <v>1</v>
      </c>
      <c r="B8" s="804" t="s">
        <v>15</v>
      </c>
      <c r="C8" s="766">
        <f>'Major Minerals'!C17</f>
        <v>0</v>
      </c>
      <c r="D8" s="767">
        <f>'Major Minerals'!D17</f>
        <v>0</v>
      </c>
      <c r="E8" s="767">
        <f>'Major Minerals'!E17/100000</f>
        <v>0</v>
      </c>
      <c r="F8" s="767">
        <f>'Major Minerals'!F17/10000000</f>
        <v>0</v>
      </c>
      <c r="G8" s="1052">
        <f>'Major Minerals'!G17/100000</f>
        <v>0</v>
      </c>
      <c r="H8" s="766">
        <f>'Major Minerals'!H17</f>
        <v>0</v>
      </c>
    </row>
    <row r="9" spans="1:8" s="399" customFormat="1" ht="21.75" customHeight="1" x14ac:dyDescent="0.25">
      <c r="A9" s="766">
        <v>2</v>
      </c>
      <c r="B9" s="804" t="s">
        <v>16</v>
      </c>
      <c r="C9" s="766">
        <f>'Major Minerals'!C50</f>
        <v>4</v>
      </c>
      <c r="D9" s="767">
        <f>'Major Minerals'!D50</f>
        <v>769.75</v>
      </c>
      <c r="E9" s="767">
        <f>'Major Minerals'!E50/100000</f>
        <v>8.70932</v>
      </c>
      <c r="F9" s="767">
        <f>'Major Minerals'!F50/10000000</f>
        <v>247.4283222</v>
      </c>
      <c r="G9" s="1052">
        <f>'Major Minerals'!G50/100000</f>
        <v>4702.5600000000004</v>
      </c>
      <c r="H9" s="766">
        <f>'Major Minerals'!H50</f>
        <v>1760</v>
      </c>
    </row>
    <row r="10" spans="1:8" s="399" customFormat="1" ht="21.75" customHeight="1" x14ac:dyDescent="0.25">
      <c r="A10" s="766">
        <v>3</v>
      </c>
      <c r="B10" s="804" t="s">
        <v>17</v>
      </c>
      <c r="C10" s="766">
        <f>'Major Minerals'!C61</f>
        <v>15</v>
      </c>
      <c r="D10" s="767">
        <f>'Major Minerals'!D61</f>
        <v>2448.625</v>
      </c>
      <c r="E10" s="767">
        <f>'Major Minerals'!E61/100000</f>
        <v>36.521374000000002</v>
      </c>
      <c r="F10" s="767">
        <f>'Major Minerals'!F61/10000000</f>
        <v>1708.9097443000001</v>
      </c>
      <c r="G10" s="1052">
        <f>'Major Minerals'!G61/100000</f>
        <v>10481.14545</v>
      </c>
      <c r="H10" s="766">
        <f>'Major Minerals'!H61</f>
        <v>1203</v>
      </c>
    </row>
    <row r="11" spans="1:8" s="399" customFormat="1" ht="21.75" customHeight="1" x14ac:dyDescent="0.25">
      <c r="A11" s="766">
        <v>4</v>
      </c>
      <c r="B11" s="804" t="s">
        <v>621</v>
      </c>
      <c r="C11" s="766">
        <f>'Major Minerals'!C70+'Major Minerals'!C79+'Major Minerals'!C87</f>
        <v>6</v>
      </c>
      <c r="D11" s="767">
        <f>'Major Minerals'!D70+'Major Minerals'!D79+'Major Minerals'!D87</f>
        <v>7026.2725</v>
      </c>
      <c r="E11" s="767">
        <f>('Major Minerals'!E70+'Major Minerals'!E79+'Major Minerals'!E87)/100000</f>
        <v>31.240659999999998</v>
      </c>
      <c r="F11" s="767">
        <f>('Major Minerals'!F70+'Major Minerals'!F79+'Major Minerals'!F87)/10000000</f>
        <v>5652.1017000000002</v>
      </c>
      <c r="G11" s="1052">
        <f>('Major Minerals'!G70+'Major Minerals'!G79+'Major Minerals'!G87)/100000</f>
        <v>237321.86585999999</v>
      </c>
      <c r="H11" s="766">
        <f>'Major Minerals'!H70+'Major Minerals'!H79+'Major Minerals'!H87</f>
        <v>29036</v>
      </c>
    </row>
    <row r="12" spans="1:8" s="399" customFormat="1" ht="21.75" customHeight="1" x14ac:dyDescent="0.25">
      <c r="A12" s="766">
        <v>5</v>
      </c>
      <c r="B12" s="804" t="s">
        <v>20</v>
      </c>
      <c r="C12" s="766">
        <f>'Major Minerals'!C102</f>
        <v>0</v>
      </c>
      <c r="D12" s="767">
        <f>'Major Minerals'!D102</f>
        <v>0</v>
      </c>
      <c r="E12" s="767">
        <f>'Major Minerals'!E102/100000</f>
        <v>6.1723499999999992E-3</v>
      </c>
      <c r="F12" s="767">
        <f>'Major Minerals'!F102/10000000</f>
        <v>4320.6449999999995</v>
      </c>
      <c r="G12" s="1052">
        <f>'Major Minerals'!G102/100000</f>
        <v>27013.511999999999</v>
      </c>
      <c r="H12" s="766">
        <f>'Major Minerals'!H102</f>
        <v>0</v>
      </c>
    </row>
    <row r="13" spans="1:8" s="399" customFormat="1" ht="21.75" customHeight="1" x14ac:dyDescent="0.25">
      <c r="A13" s="766">
        <v>6</v>
      </c>
      <c r="B13" s="804" t="s">
        <v>21</v>
      </c>
      <c r="C13" s="766">
        <f>'Major Minerals'!C94</f>
        <v>1</v>
      </c>
      <c r="D13" s="767">
        <f>'Major Minerals'!D94</f>
        <v>18.898</v>
      </c>
      <c r="E13" s="767">
        <f>'Major Minerals'!E94/100000</f>
        <v>9.9757999999999999E-3</v>
      </c>
      <c r="F13" s="767">
        <f>'Major Minerals'!F94/10000000</f>
        <v>0.34915299999999999</v>
      </c>
      <c r="G13" s="1052">
        <f>'Major Minerals'!G94/100000</f>
        <v>2.76</v>
      </c>
      <c r="H13" s="766">
        <f>'Major Minerals'!H94</f>
        <v>20</v>
      </c>
    </row>
    <row r="14" spans="1:8" s="399" customFormat="1" ht="21.75" customHeight="1" x14ac:dyDescent="0.25">
      <c r="A14" s="694" t="s">
        <v>22</v>
      </c>
      <c r="B14" s="805"/>
      <c r="C14" s="696"/>
      <c r="D14" s="697"/>
      <c r="E14" s="697"/>
      <c r="F14" s="697"/>
      <c r="G14" s="698"/>
      <c r="H14" s="1055"/>
    </row>
    <row r="15" spans="1:8" s="399" customFormat="1" ht="21.75" customHeight="1" x14ac:dyDescent="0.25">
      <c r="A15" s="768">
        <v>7</v>
      </c>
      <c r="B15" s="806" t="s">
        <v>465</v>
      </c>
      <c r="C15" s="769">
        <f>'Major Minerals'!C9</f>
        <v>0</v>
      </c>
      <c r="D15" s="1051">
        <f>'Major Minerals'!D9</f>
        <v>0</v>
      </c>
      <c r="E15" s="1051">
        <f>'Major Minerals'!E9/100000</f>
        <v>0</v>
      </c>
      <c r="F15" s="1051">
        <f>'Major Minerals'!F9/10000000</f>
        <v>0</v>
      </c>
      <c r="G15" s="1053">
        <f>'Major Minerals'!G9/100000</f>
        <v>0</v>
      </c>
      <c r="H15" s="769">
        <f>'Major Minerals'!H9</f>
        <v>0</v>
      </c>
    </row>
    <row r="16" spans="1:8" s="399" customFormat="1" ht="21.75" customHeight="1" x14ac:dyDescent="0.25">
      <c r="A16" s="768">
        <v>8</v>
      </c>
      <c r="B16" s="806" t="s">
        <v>462</v>
      </c>
      <c r="C16" s="769">
        <f>'Major Minerals'!C24</f>
        <v>2</v>
      </c>
      <c r="D16" s="1051">
        <f>'Major Minerals'!D24</f>
        <v>9.8000000000000007</v>
      </c>
      <c r="E16" s="1051">
        <f>'Major Minerals'!E24/100000</f>
        <v>0</v>
      </c>
      <c r="F16" s="1051">
        <f>'Major Minerals'!F24/10000000</f>
        <v>0</v>
      </c>
      <c r="G16" s="1053">
        <f>'Major Minerals'!G24/100000</f>
        <v>0</v>
      </c>
      <c r="H16" s="769">
        <f>'Major Minerals'!H24</f>
        <v>0</v>
      </c>
    </row>
    <row r="17" spans="1:8" s="399" customFormat="1" ht="21.75" customHeight="1" x14ac:dyDescent="0.25">
      <c r="A17" s="768">
        <v>9</v>
      </c>
      <c r="B17" s="806" t="s">
        <v>464</v>
      </c>
      <c r="C17" s="769">
        <f>'Major Minerals'!C43</f>
        <v>1</v>
      </c>
      <c r="D17" s="1051">
        <f>'Major Minerals'!D43</f>
        <v>46.32</v>
      </c>
      <c r="E17" s="1051">
        <f>'Major Minerals'!E43/100000</f>
        <v>0</v>
      </c>
      <c r="F17" s="1051">
        <f>'Major Minerals'!F43/10000000</f>
        <v>0</v>
      </c>
      <c r="G17" s="1053">
        <f>'Major Minerals'!G43/100000</f>
        <v>3.7056</v>
      </c>
      <c r="H17" s="769">
        <f>'Major Minerals'!H43</f>
        <v>0</v>
      </c>
    </row>
    <row r="18" spans="1:8" s="399" customFormat="1" ht="21.75" customHeight="1" x14ac:dyDescent="0.25">
      <c r="A18" s="768">
        <v>10</v>
      </c>
      <c r="B18" s="806" t="s">
        <v>466</v>
      </c>
      <c r="C18" s="769">
        <f>'Major Minerals'!C37</f>
        <v>1</v>
      </c>
      <c r="D18" s="1051">
        <f>'Office Major'!D146</f>
        <v>4.05</v>
      </c>
      <c r="E18" s="1051">
        <f>'Office Major'!E146/100000</f>
        <v>0</v>
      </c>
      <c r="F18" s="1051">
        <f>'Office Major'!F146/10000000</f>
        <v>0</v>
      </c>
      <c r="G18" s="1053">
        <f>'Office Major'!G146/100000</f>
        <v>4.052E-2</v>
      </c>
      <c r="H18" s="769">
        <f>'Office Major'!H146</f>
        <v>0</v>
      </c>
    </row>
    <row r="19" spans="1:8" s="399" customFormat="1" ht="21.75" customHeight="1" x14ac:dyDescent="0.25">
      <c r="A19" s="768">
        <v>11</v>
      </c>
      <c r="B19" s="804" t="s">
        <v>396</v>
      </c>
      <c r="C19" s="766">
        <f>'Major Minerals'!C228</f>
        <v>1</v>
      </c>
      <c r="D19" s="767">
        <f>'Major Minerals'!D228</f>
        <v>123.2</v>
      </c>
      <c r="E19" s="767">
        <f>'Major Minerals'!E228/100000</f>
        <v>0</v>
      </c>
      <c r="F19" s="767">
        <f>'Major Minerals'!F228/10000000</f>
        <v>0</v>
      </c>
      <c r="G19" s="1052">
        <f>'Major Minerals'!G228/100000</f>
        <v>2.5139999999999998</v>
      </c>
      <c r="H19" s="766">
        <f>'Major Minerals'!H228</f>
        <v>0</v>
      </c>
    </row>
    <row r="20" spans="1:8" s="399" customFormat="1" ht="21.75" customHeight="1" x14ac:dyDescent="0.25">
      <c r="A20" s="768">
        <v>12</v>
      </c>
      <c r="B20" s="803" t="s">
        <v>29</v>
      </c>
      <c r="C20" s="766">
        <f>'Major Minerals'!C111</f>
        <v>7</v>
      </c>
      <c r="D20" s="767">
        <f>'Major Minerals'!D111</f>
        <v>1247.6199999999999</v>
      </c>
      <c r="E20" s="767">
        <f>'Major Minerals'!E111/100000</f>
        <v>0</v>
      </c>
      <c r="F20" s="767">
        <f>'Major Minerals'!F229/10000000</f>
        <v>0</v>
      </c>
      <c r="G20" s="1052">
        <f>'Major Minerals'!G111/100000</f>
        <v>0.30767</v>
      </c>
      <c r="H20" s="766">
        <f>'Major Minerals'!H111</f>
        <v>0</v>
      </c>
    </row>
    <row r="21" spans="1:8" s="399" customFormat="1" ht="21.75" customHeight="1" x14ac:dyDescent="0.25">
      <c r="A21" s="768">
        <v>13</v>
      </c>
      <c r="B21" s="807" t="s">
        <v>30</v>
      </c>
      <c r="C21" s="766">
        <f>'Major Minerals'!C121</f>
        <v>15</v>
      </c>
      <c r="D21" s="767">
        <f>'Major Minerals'!D121</f>
        <v>68.860700000000008</v>
      </c>
      <c r="E21" s="767">
        <f>'Major Minerals'!E121/100000</f>
        <v>0.19058</v>
      </c>
      <c r="F21" s="767">
        <f>'Major Minerals'!F239/10000000</f>
        <v>7.9893521999999999</v>
      </c>
      <c r="G21" s="1052">
        <f>'Major Minerals'!G121/100000</f>
        <v>30.259699999999999</v>
      </c>
      <c r="H21" s="766">
        <f>'Major Minerals'!H121</f>
        <v>40</v>
      </c>
    </row>
    <row r="22" spans="1:8" s="399" customFormat="1" ht="21.75" customHeight="1" x14ac:dyDescent="0.25">
      <c r="A22" s="768">
        <v>14</v>
      </c>
      <c r="B22" s="804" t="s">
        <v>33</v>
      </c>
      <c r="C22" s="766">
        <f>'Major Minerals'!C128</f>
        <v>3</v>
      </c>
      <c r="D22" s="767">
        <f>'Major Minerals'!D128</f>
        <v>154</v>
      </c>
      <c r="E22" s="767">
        <f>'Major Minerals'!E128/100000</f>
        <v>0</v>
      </c>
      <c r="F22" s="767">
        <f>'Major Minerals'!F241/10000000</f>
        <v>0</v>
      </c>
      <c r="G22" s="1052">
        <f>'Major Minerals'!G128/100000</f>
        <v>0</v>
      </c>
      <c r="H22" s="766">
        <f>'Major Minerals'!H128</f>
        <v>0</v>
      </c>
    </row>
    <row r="23" spans="1:8" s="399" customFormat="1" ht="21.75" customHeight="1" x14ac:dyDescent="0.25">
      <c r="A23" s="768">
        <v>15</v>
      </c>
      <c r="B23" s="804" t="s">
        <v>34</v>
      </c>
      <c r="C23" s="766">
        <f>'Major Minerals'!C157</f>
        <v>7</v>
      </c>
      <c r="D23" s="767">
        <f>'Major Minerals'!D157</f>
        <v>14633.74</v>
      </c>
      <c r="E23" s="767">
        <f>'Major Minerals'!E157/100000</f>
        <v>103.1160708</v>
      </c>
      <c r="F23" s="767">
        <f>'Major Minerals'!F240/10000000</f>
        <v>2280.7284669000001</v>
      </c>
      <c r="G23" s="1052">
        <f>'Major Minerals'!G157/100000</f>
        <v>15454.173629999999</v>
      </c>
      <c r="H23" s="766">
        <f>'Major Minerals'!H157</f>
        <v>575</v>
      </c>
    </row>
    <row r="24" spans="1:8" s="399" customFormat="1" ht="21.75" customHeight="1" x14ac:dyDescent="0.25">
      <c r="A24" s="768">
        <v>16</v>
      </c>
      <c r="B24" s="804" t="s">
        <v>35</v>
      </c>
      <c r="C24" s="766">
        <f>'Major Minerals'!C242</f>
        <v>48</v>
      </c>
      <c r="D24" s="767">
        <f>'Major Minerals'!D242</f>
        <v>22972.608400000001</v>
      </c>
      <c r="E24" s="767">
        <f>'Major Minerals'!E242/100000</f>
        <v>1026.6567831</v>
      </c>
      <c r="F24" s="767">
        <f>'Major Minerals'!F242/10000000</f>
        <v>6999.7966439000002</v>
      </c>
      <c r="G24" s="1052">
        <f>'Major Minerals'!G242/100000</f>
        <v>84323.487949999995</v>
      </c>
      <c r="H24" s="766">
        <f>'Major Minerals'!H242</f>
        <v>4308</v>
      </c>
    </row>
    <row r="25" spans="1:8" s="399" customFormat="1" ht="21.75" customHeight="1" x14ac:dyDescent="0.25">
      <c r="A25" s="768">
        <v>17</v>
      </c>
      <c r="B25" s="804" t="s">
        <v>36</v>
      </c>
      <c r="C25" s="766">
        <f>'Major Minerals'!C165</f>
        <v>1</v>
      </c>
      <c r="D25" s="767">
        <f>'Major Minerals'!D165</f>
        <v>10</v>
      </c>
      <c r="E25" s="767">
        <f>'Major Minerals'!E165/100000</f>
        <v>3.1199999999999999E-3</v>
      </c>
      <c r="F25" s="767">
        <f>'Major Minerals'!F165/10000000</f>
        <v>2.5000000000000001E-2</v>
      </c>
      <c r="G25" s="1052">
        <f>'Major Minerals'!G165/100000</f>
        <v>0.05</v>
      </c>
      <c r="H25" s="766">
        <f>'Major Minerals'!H165</f>
        <v>0</v>
      </c>
    </row>
    <row r="26" spans="1:8" s="399" customFormat="1" ht="21.75" customHeight="1" x14ac:dyDescent="0.25">
      <c r="A26" s="768">
        <v>18</v>
      </c>
      <c r="B26" s="804" t="s">
        <v>42</v>
      </c>
      <c r="C26" s="766">
        <f>'Major Minerals'!C171</f>
        <v>1</v>
      </c>
      <c r="D26" s="767">
        <f>'Major Minerals'!D171</f>
        <v>1370.37</v>
      </c>
      <c r="E26" s="767">
        <f>'Major Minerals'!E171/100000</f>
        <v>10.046530000000001</v>
      </c>
      <c r="F26" s="767">
        <f>'Major Minerals'!F171/10000000</f>
        <v>205.95386500000001</v>
      </c>
      <c r="G26" s="1052">
        <f>'Major Minerals'!G171/100000</f>
        <v>15044.582979999999</v>
      </c>
      <c r="H26" s="766">
        <f>'Major Minerals'!H171</f>
        <v>980</v>
      </c>
    </row>
    <row r="27" spans="1:8" s="399" customFormat="1" ht="21.75" customHeight="1" x14ac:dyDescent="0.25">
      <c r="A27" s="768">
        <v>19</v>
      </c>
      <c r="B27" s="804" t="s">
        <v>43</v>
      </c>
      <c r="C27" s="766">
        <f>'Major Minerals'!C179</f>
        <v>4</v>
      </c>
      <c r="D27" s="767">
        <f>'Major Minerals'!D179</f>
        <v>625.35</v>
      </c>
      <c r="E27" s="767">
        <f>'Major Minerals'!E179/100000</f>
        <v>0.19571</v>
      </c>
      <c r="F27" s="767">
        <f>'Major Minerals'!F179/10000000</f>
        <v>3.468709</v>
      </c>
      <c r="G27" s="1052">
        <f>'Major Minerals'!G179/100000</f>
        <v>34.075499999999998</v>
      </c>
      <c r="H27" s="766">
        <f>'Major Minerals'!H179</f>
        <v>25</v>
      </c>
    </row>
    <row r="28" spans="1:8" s="399" customFormat="1" ht="21.75" customHeight="1" x14ac:dyDescent="0.25">
      <c r="A28" s="768">
        <v>20</v>
      </c>
      <c r="B28" s="804" t="s">
        <v>45</v>
      </c>
      <c r="C28" s="766">
        <f>'Major Minerals'!C188</f>
        <v>17</v>
      </c>
      <c r="D28" s="767">
        <f>'Major Minerals'!D188</f>
        <v>168.965</v>
      </c>
      <c r="E28" s="767">
        <f>'Major Minerals'!E188/100000</f>
        <v>0.39284000000000002</v>
      </c>
      <c r="F28" s="767">
        <f>'Major Minerals'!F188/10000000</f>
        <v>2.9462977000000001</v>
      </c>
      <c r="G28" s="1052">
        <f>'Major Minerals'!G188/100000</f>
        <v>37.598860000000002</v>
      </c>
      <c r="H28" s="766">
        <f>'Major Minerals'!H188</f>
        <v>74</v>
      </c>
    </row>
    <row r="29" spans="1:8" s="399" customFormat="1" ht="21.75" customHeight="1" x14ac:dyDescent="0.25">
      <c r="A29" s="768">
        <v>21</v>
      </c>
      <c r="B29" s="804" t="s">
        <v>47</v>
      </c>
      <c r="C29" s="766">
        <f>'Major Minerals'!C197</f>
        <v>2</v>
      </c>
      <c r="D29" s="767">
        <f>'Major Minerals'!D197</f>
        <v>9.3099999999999987</v>
      </c>
      <c r="E29" s="767">
        <f>'Major Minerals'!E197/100000</f>
        <v>0</v>
      </c>
      <c r="F29" s="767">
        <f>'Major Minerals'!F197/10000000</f>
        <v>0</v>
      </c>
      <c r="G29" s="1052">
        <f>'Major Minerals'!G197/100000</f>
        <v>0.67620000000000002</v>
      </c>
      <c r="H29" s="766">
        <f>'Major Minerals'!H197</f>
        <v>0</v>
      </c>
    </row>
    <row r="30" spans="1:8" s="399" customFormat="1" ht="21.75" customHeight="1" x14ac:dyDescent="0.25">
      <c r="A30" s="768">
        <v>22</v>
      </c>
      <c r="B30" s="804" t="s">
        <v>48</v>
      </c>
      <c r="C30" s="766">
        <f>'Major Minerals'!C208</f>
        <v>12</v>
      </c>
      <c r="D30" s="767">
        <f>'Major Minerals'!D208</f>
        <v>253.27999999999997</v>
      </c>
      <c r="E30" s="767">
        <f>'Major Minerals'!E208/100000</f>
        <v>1.0452399999999999</v>
      </c>
      <c r="F30" s="767">
        <f>'Major Minerals'!F208/10000000</f>
        <v>14.9056941</v>
      </c>
      <c r="G30" s="1052">
        <f>'Major Minerals'!G208/100000</f>
        <v>104.0628</v>
      </c>
      <c r="H30" s="766">
        <f>'Major Minerals'!H208</f>
        <v>16</v>
      </c>
    </row>
    <row r="31" spans="1:8" s="399" customFormat="1" ht="21.75" customHeight="1" x14ac:dyDescent="0.25">
      <c r="A31" s="768"/>
      <c r="B31" s="804" t="s">
        <v>458</v>
      </c>
      <c r="C31" s="766">
        <f>'Major Minerals'!C249</f>
        <v>0</v>
      </c>
      <c r="D31" s="767">
        <f>'Major Minerals'!D249</f>
        <v>0</v>
      </c>
      <c r="E31" s="767">
        <f>'Major Minerals'!E249/100000</f>
        <v>0</v>
      </c>
      <c r="F31" s="767">
        <v>0</v>
      </c>
      <c r="G31" s="1052">
        <f>'Major Minerals'!G249/100000</f>
        <v>0</v>
      </c>
      <c r="H31" s="766">
        <f>'Major Minerals'!H249</f>
        <v>0</v>
      </c>
    </row>
    <row r="32" spans="1:8" s="399" customFormat="1" ht="16.5" x14ac:dyDescent="0.25">
      <c r="A32" s="770"/>
      <c r="B32" s="770" t="s">
        <v>50</v>
      </c>
      <c r="C32" s="770">
        <f>SUM(C8:C31)</f>
        <v>148</v>
      </c>
      <c r="D32" s="771">
        <f t="shared" ref="D32:H32" si="0">SUM(D8:D31)</f>
        <v>51961.019599999992</v>
      </c>
      <c r="E32" s="771">
        <f t="shared" si="0"/>
        <v>1218.1343760500001</v>
      </c>
      <c r="F32" s="771">
        <f t="shared" si="0"/>
        <v>21445.247948300002</v>
      </c>
      <c r="G32" s="1054">
        <f t="shared" si="0"/>
        <v>394557.37871999998</v>
      </c>
      <c r="H32" s="770">
        <f t="shared" si="0"/>
        <v>38037</v>
      </c>
    </row>
    <row r="38" spans="8:8" x14ac:dyDescent="0.25">
      <c r="H38" s="760"/>
    </row>
  </sheetData>
  <mergeCells count="6">
    <mergeCell ref="B5:B6"/>
    <mergeCell ref="A5:A6"/>
    <mergeCell ref="A1:H1"/>
    <mergeCell ref="A2:H2"/>
    <mergeCell ref="A3:H3"/>
    <mergeCell ref="A4:H4"/>
  </mergeCells>
  <pageMargins left="0.59055118110236227" right="0.35433070866141736" top="0.74803149606299213" bottom="0.74803149606299213" header="0.31496062992125984" footer="0.31496062992125984"/>
  <pageSetup paperSize="9" scale="7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4"/>
  <sheetViews>
    <sheetView topLeftCell="A34" zoomScale="90" zoomScaleNormal="90" workbookViewId="0">
      <selection activeCell="G629" sqref="G629"/>
    </sheetView>
  </sheetViews>
  <sheetFormatPr defaultColWidth="9.140625" defaultRowHeight="15" x14ac:dyDescent="0.25"/>
  <cols>
    <col min="1" max="1" width="7.42578125" style="123" customWidth="1"/>
    <col min="2" max="2" width="25" style="123" bestFit="1" customWidth="1"/>
    <col min="3" max="3" width="10" style="123" customWidth="1"/>
    <col min="4" max="4" width="13.85546875" style="123" customWidth="1"/>
    <col min="5" max="5" width="13.7109375" style="123" bestFit="1" customWidth="1"/>
    <col min="6" max="6" width="16" style="123" customWidth="1"/>
    <col min="7" max="7" width="13.7109375" style="123" bestFit="1" customWidth="1"/>
    <col min="8" max="8" width="12.85546875" style="123" customWidth="1"/>
    <col min="9" max="9" width="9.140625" style="123"/>
    <col min="10" max="10" width="12.42578125" style="123" bestFit="1" customWidth="1"/>
    <col min="11" max="11" width="17" style="123" customWidth="1"/>
    <col min="12" max="12" width="18.5703125" style="123" customWidth="1"/>
    <col min="13" max="13" width="16" style="123" bestFit="1" customWidth="1"/>
    <col min="14" max="14" width="13.28515625" style="123" customWidth="1"/>
    <col min="15" max="16384" width="9.140625" style="123"/>
  </cols>
  <sheetData>
    <row r="1" spans="1:15" ht="30.75" x14ac:dyDescent="0.25">
      <c r="A1" s="1139" t="s">
        <v>0</v>
      </c>
      <c r="B1" s="1139"/>
      <c r="C1" s="1139"/>
      <c r="D1" s="1139"/>
      <c r="E1" s="1139"/>
      <c r="F1" s="1139"/>
      <c r="G1" s="1139"/>
      <c r="H1" s="1139"/>
    </row>
    <row r="2" spans="1:15" ht="25.5" x14ac:dyDescent="0.25">
      <c r="A2" s="1140" t="s">
        <v>438</v>
      </c>
      <c r="B2" s="1140"/>
      <c r="C2" s="1140"/>
      <c r="D2" s="1140"/>
      <c r="E2" s="1140"/>
      <c r="F2" s="1140"/>
      <c r="G2" s="1140"/>
      <c r="H2" s="1140"/>
    </row>
    <row r="3" spans="1:15" ht="22.5" x14ac:dyDescent="0.25">
      <c r="A3" s="1141" t="str">
        <f>'Distt. Major Minerals'!A3:H3</f>
        <v>Financial Year 2023-24</v>
      </c>
      <c r="B3" s="1141"/>
      <c r="C3" s="1141"/>
      <c r="D3" s="1141"/>
      <c r="E3" s="1141"/>
      <c r="F3" s="1141"/>
      <c r="G3" s="1141"/>
      <c r="H3" s="1141"/>
    </row>
    <row r="5" spans="1:15" ht="18.75" x14ac:dyDescent="0.3">
      <c r="A5" s="1142" t="s">
        <v>23</v>
      </c>
      <c r="B5" s="1142"/>
      <c r="C5" s="1142"/>
      <c r="D5" s="1142"/>
      <c r="E5" s="1142"/>
      <c r="F5" s="1142"/>
      <c r="G5" s="1142"/>
      <c r="H5" s="1142"/>
    </row>
    <row r="6" spans="1:15" ht="17.100000000000001" customHeight="1" x14ac:dyDescent="0.25">
      <c r="A6" s="1122" t="s">
        <v>2</v>
      </c>
      <c r="B6" s="1124" t="s">
        <v>270</v>
      </c>
      <c r="C6" s="249" t="s">
        <v>4</v>
      </c>
      <c r="D6" s="249" t="s">
        <v>5</v>
      </c>
      <c r="E6" s="249" t="s">
        <v>6</v>
      </c>
      <c r="F6" s="249" t="s">
        <v>7</v>
      </c>
      <c r="G6" s="249" t="s">
        <v>8</v>
      </c>
      <c r="H6" s="249" t="s">
        <v>9</v>
      </c>
    </row>
    <row r="7" spans="1:15" ht="17.100000000000001" customHeight="1" x14ac:dyDescent="0.25">
      <c r="A7" s="1123"/>
      <c r="B7" s="1125"/>
      <c r="C7" s="2" t="s">
        <v>10</v>
      </c>
      <c r="D7" s="2" t="s">
        <v>78</v>
      </c>
      <c r="E7" s="2" t="s">
        <v>79</v>
      </c>
      <c r="F7" s="52" t="s">
        <v>80</v>
      </c>
      <c r="G7" s="52" t="s">
        <v>80</v>
      </c>
      <c r="H7" s="2" t="s">
        <v>13</v>
      </c>
    </row>
    <row r="8" spans="1:15" ht="17.100000000000001" customHeight="1" x14ac:dyDescent="0.25">
      <c r="A8" s="133">
        <v>1</v>
      </c>
      <c r="B8" s="3" t="s">
        <v>246</v>
      </c>
      <c r="C8" s="116">
        <f>Distt.Minor!C142</f>
        <v>211</v>
      </c>
      <c r="D8" s="116">
        <f>Distt.Minor!D142</f>
        <v>5430.13</v>
      </c>
      <c r="E8" s="116">
        <f>Distt.Minor!E142</f>
        <v>8107862</v>
      </c>
      <c r="F8" s="116">
        <f>Distt.Minor!F142</f>
        <v>5675503400</v>
      </c>
      <c r="G8" s="116">
        <f>Distt.Minor!G142</f>
        <v>648976967</v>
      </c>
      <c r="H8" s="116">
        <f>Distt.Minor!H142</f>
        <v>1110</v>
      </c>
      <c r="I8" s="535"/>
    </row>
    <row r="9" spans="1:15" ht="17.100000000000001" customHeight="1" x14ac:dyDescent="0.25">
      <c r="A9" s="133">
        <v>2</v>
      </c>
      <c r="B9" s="3" t="s">
        <v>254</v>
      </c>
      <c r="C9" s="133">
        <f>Distt.Minor!C269</f>
        <v>3</v>
      </c>
      <c r="D9" s="133">
        <f>Distt.Minor!D269</f>
        <v>13</v>
      </c>
      <c r="E9" s="133">
        <f>Distt.Minor!E269</f>
        <v>32.909999999999997</v>
      </c>
      <c r="F9" s="133">
        <f>Distt.Minor!F269</f>
        <v>14480.399999999998</v>
      </c>
      <c r="G9" s="133">
        <f>Distt.Minor!G269</f>
        <v>522386</v>
      </c>
      <c r="H9" s="133">
        <f>Distt.Minor!H269</f>
        <v>1</v>
      </c>
    </row>
    <row r="10" spans="1:15" ht="17.100000000000001" customHeight="1" x14ac:dyDescent="0.25">
      <c r="A10" s="1300" t="s">
        <v>50</v>
      </c>
      <c r="B10" s="1301"/>
      <c r="C10" s="4">
        <f t="shared" ref="C10:H10" si="0">SUM(C8:C9)</f>
        <v>214</v>
      </c>
      <c r="D10" s="5">
        <f t="shared" si="0"/>
        <v>5443.13</v>
      </c>
      <c r="E10" s="4">
        <f t="shared" si="0"/>
        <v>8107894.9100000001</v>
      </c>
      <c r="F10" s="4">
        <f t="shared" si="0"/>
        <v>5675517880.3999996</v>
      </c>
      <c r="G10" s="4">
        <f t="shared" si="0"/>
        <v>649499353</v>
      </c>
      <c r="H10" s="4">
        <f t="shared" si="0"/>
        <v>1111</v>
      </c>
      <c r="J10" s="239">
        <f>'Minor Minerals'!C11</f>
        <v>214</v>
      </c>
      <c r="K10" s="239">
        <f>'Minor Minerals'!D11</f>
        <v>5443.13</v>
      </c>
      <c r="L10" s="239">
        <f>'Minor Minerals'!E11</f>
        <v>8107894.9100000001</v>
      </c>
      <c r="M10" s="239">
        <f>'Minor Minerals'!F11</f>
        <v>5675517880.3999996</v>
      </c>
      <c r="N10" s="239">
        <f>'Minor Minerals'!G11</f>
        <v>649499353</v>
      </c>
      <c r="O10" s="239">
        <f>'Minor Minerals'!H11</f>
        <v>1111</v>
      </c>
    </row>
    <row r="11" spans="1:15" ht="17.100000000000001" customHeight="1" x14ac:dyDescent="0.25">
      <c r="A11" s="135"/>
      <c r="B11" s="8"/>
      <c r="C11" s="9"/>
      <c r="D11" s="10"/>
      <c r="E11" s="11"/>
      <c r="F11" s="11"/>
      <c r="G11" s="11"/>
      <c r="H11" s="9"/>
      <c r="J11" s="123">
        <f>J10-C10</f>
        <v>0</v>
      </c>
      <c r="K11" s="123">
        <f t="shared" ref="K11:O11" si="1">K10-D10</f>
        <v>0</v>
      </c>
      <c r="L11" s="123">
        <f t="shared" si="1"/>
        <v>0</v>
      </c>
      <c r="M11" s="123">
        <f t="shared" si="1"/>
        <v>0</v>
      </c>
      <c r="N11" s="123">
        <f t="shared" si="1"/>
        <v>0</v>
      </c>
      <c r="O11" s="123">
        <f t="shared" si="1"/>
        <v>0</v>
      </c>
    </row>
    <row r="12" spans="1:15" ht="17.100000000000001" customHeight="1" x14ac:dyDescent="0.3">
      <c r="A12" s="1142" t="s">
        <v>24</v>
      </c>
      <c r="B12" s="1142"/>
      <c r="C12" s="1142"/>
      <c r="D12" s="1142"/>
      <c r="E12" s="1142"/>
      <c r="F12" s="1142"/>
      <c r="G12" s="1142"/>
      <c r="H12" s="1142"/>
    </row>
    <row r="13" spans="1:15" ht="17.100000000000001" customHeight="1" x14ac:dyDescent="0.25">
      <c r="A13" s="1122" t="s">
        <v>2</v>
      </c>
      <c r="B13" s="1124" t="s">
        <v>270</v>
      </c>
      <c r="C13" s="249" t="s">
        <v>4</v>
      </c>
      <c r="D13" s="249" t="s">
        <v>5</v>
      </c>
      <c r="E13" s="249" t="s">
        <v>6</v>
      </c>
      <c r="F13" s="249" t="s">
        <v>7</v>
      </c>
      <c r="G13" s="249" t="s">
        <v>8</v>
      </c>
      <c r="H13" s="249" t="s">
        <v>9</v>
      </c>
    </row>
    <row r="14" spans="1:15" ht="17.100000000000001" customHeight="1" x14ac:dyDescent="0.25">
      <c r="A14" s="1123"/>
      <c r="B14" s="1125"/>
      <c r="C14" s="2" t="s">
        <v>10</v>
      </c>
      <c r="D14" s="2" t="s">
        <v>78</v>
      </c>
      <c r="E14" s="2" t="s">
        <v>79</v>
      </c>
      <c r="F14" s="52" t="s">
        <v>80</v>
      </c>
      <c r="G14" s="52" t="s">
        <v>80</v>
      </c>
      <c r="H14" s="2" t="s">
        <v>13</v>
      </c>
    </row>
    <row r="15" spans="1:15" ht="17.100000000000001" customHeight="1" x14ac:dyDescent="0.25">
      <c r="A15" s="133">
        <v>1</v>
      </c>
      <c r="B15" s="3" t="s">
        <v>267</v>
      </c>
      <c r="C15" s="133">
        <f>Distt.Minor!C571</f>
        <v>1</v>
      </c>
      <c r="D15" s="133">
        <f>Distt.Minor!D571</f>
        <v>31</v>
      </c>
      <c r="E15" s="133">
        <f>Distt.Minor!E571</f>
        <v>6002</v>
      </c>
      <c r="F15" s="133">
        <f>Distt.Minor!F571</f>
        <v>7802600</v>
      </c>
      <c r="G15" s="133">
        <f>Distt.Minor!G571</f>
        <v>755260</v>
      </c>
      <c r="H15" s="133">
        <f>Distt.Minor!H571</f>
        <v>9</v>
      </c>
    </row>
    <row r="16" spans="1:15" ht="17.100000000000001" customHeight="1" x14ac:dyDescent="0.25">
      <c r="A16" s="629">
        <v>2</v>
      </c>
      <c r="B16" s="630" t="s">
        <v>461</v>
      </c>
      <c r="C16" s="133">
        <f>Distt.Minor!C475</f>
        <v>0</v>
      </c>
      <c r="D16" s="133">
        <f>Distt.Minor!D475</f>
        <v>0</v>
      </c>
      <c r="E16" s="133">
        <f>Distt.Minor!E475</f>
        <v>0</v>
      </c>
      <c r="F16" s="133">
        <f>Distt.Minor!F475</f>
        <v>0</v>
      </c>
      <c r="G16" s="133">
        <f>Distt.Minor!G475</f>
        <v>0</v>
      </c>
      <c r="H16" s="133">
        <f>Distt.Minor!H475</f>
        <v>0</v>
      </c>
    </row>
    <row r="17" spans="1:15" ht="17.100000000000001" customHeight="1" x14ac:dyDescent="0.25">
      <c r="A17" s="1300" t="s">
        <v>50</v>
      </c>
      <c r="B17" s="1301"/>
      <c r="C17" s="4">
        <f>SUM(C15:C16)</f>
        <v>1</v>
      </c>
      <c r="D17" s="4">
        <f t="shared" ref="D17:H17" si="2">SUM(D15:D16)</f>
        <v>31</v>
      </c>
      <c r="E17" s="4">
        <f t="shared" si="2"/>
        <v>6002</v>
      </c>
      <c r="F17" s="4">
        <f t="shared" si="2"/>
        <v>7802600</v>
      </c>
      <c r="G17" s="4">
        <f t="shared" si="2"/>
        <v>755260</v>
      </c>
      <c r="H17" s="4">
        <f t="shared" si="2"/>
        <v>9</v>
      </c>
      <c r="J17" s="238">
        <f>'Minor Minerals'!C18</f>
        <v>1</v>
      </c>
      <c r="K17" s="238">
        <f>'Minor Minerals'!D18</f>
        <v>31</v>
      </c>
      <c r="L17" s="238">
        <f>'Minor Minerals'!E18</f>
        <v>6002</v>
      </c>
      <c r="M17" s="238">
        <f>'Minor Minerals'!F18</f>
        <v>7802600</v>
      </c>
      <c r="N17" s="238">
        <f>'Minor Minerals'!G18</f>
        <v>755260</v>
      </c>
      <c r="O17" s="238">
        <f>'Minor Minerals'!H18</f>
        <v>9</v>
      </c>
    </row>
    <row r="18" spans="1:15" ht="17.100000000000001" customHeight="1" x14ac:dyDescent="0.25">
      <c r="A18" s="124"/>
      <c r="B18" s="124"/>
      <c r="C18" s="124"/>
      <c r="D18" s="124"/>
      <c r="E18" s="124"/>
      <c r="F18" s="124"/>
      <c r="G18" s="124"/>
      <c r="H18" s="124"/>
      <c r="J18" s="128">
        <f>J17-C17</f>
        <v>0</v>
      </c>
      <c r="K18" s="128">
        <f t="shared" ref="K18:O18" si="3">K17-D17</f>
        <v>0</v>
      </c>
      <c r="L18" s="128">
        <f t="shared" si="3"/>
        <v>0</v>
      </c>
      <c r="M18" s="128">
        <f t="shared" si="3"/>
        <v>0</v>
      </c>
      <c r="N18" s="128">
        <f t="shared" si="3"/>
        <v>0</v>
      </c>
      <c r="O18" s="128">
        <f t="shared" si="3"/>
        <v>0</v>
      </c>
    </row>
    <row r="19" spans="1:15" ht="17.100000000000001" customHeight="1" x14ac:dyDescent="0.25">
      <c r="A19" s="124"/>
      <c r="B19" s="30"/>
      <c r="C19" s="124"/>
      <c r="D19" s="31" t="s">
        <v>53</v>
      </c>
      <c r="E19" s="124"/>
      <c r="F19" s="124"/>
      <c r="G19" s="124"/>
      <c r="H19" s="124"/>
    </row>
    <row r="20" spans="1:15" ht="17.100000000000001" customHeight="1" x14ac:dyDescent="0.25">
      <c r="A20" s="1122" t="s">
        <v>2</v>
      </c>
      <c r="B20" s="1124" t="s">
        <v>270</v>
      </c>
      <c r="C20" s="249" t="s">
        <v>4</v>
      </c>
      <c r="D20" s="249" t="s">
        <v>5</v>
      </c>
      <c r="E20" s="249" t="s">
        <v>6</v>
      </c>
      <c r="F20" s="249" t="s">
        <v>7</v>
      </c>
      <c r="G20" s="249" t="s">
        <v>8</v>
      </c>
      <c r="H20" s="249" t="s">
        <v>9</v>
      </c>
    </row>
    <row r="21" spans="1:15" ht="17.100000000000001" customHeight="1" x14ac:dyDescent="0.25">
      <c r="A21" s="1123"/>
      <c r="B21" s="1125"/>
      <c r="C21" s="2" t="s">
        <v>10</v>
      </c>
      <c r="D21" s="2" t="s">
        <v>52</v>
      </c>
      <c r="E21" s="2" t="s">
        <v>79</v>
      </c>
      <c r="F21" s="2" t="s">
        <v>80</v>
      </c>
      <c r="G21" s="2" t="s">
        <v>80</v>
      </c>
      <c r="H21" s="2" t="s">
        <v>13</v>
      </c>
    </row>
    <row r="22" spans="1:15" ht="17.100000000000001" customHeight="1" x14ac:dyDescent="0.25">
      <c r="A22" s="133">
        <v>1</v>
      </c>
      <c r="B22" s="188" t="s">
        <v>286</v>
      </c>
      <c r="C22" s="189">
        <f>Distt.Minor!C325</f>
        <v>12</v>
      </c>
      <c r="D22" s="189">
        <f>Distt.Minor!D325</f>
        <v>13.07</v>
      </c>
      <c r="E22" s="189">
        <f>Distt.Minor!E325</f>
        <v>11646</v>
      </c>
      <c r="F22" s="189">
        <f>Distt.Minor!F325</f>
        <v>7686360</v>
      </c>
      <c r="G22" s="189">
        <f>Distt.Minor!G325</f>
        <v>516190</v>
      </c>
      <c r="H22" s="189">
        <f>Distt.Minor!H325</f>
        <v>40</v>
      </c>
    </row>
    <row r="23" spans="1:15" ht="17.100000000000001" customHeight="1" x14ac:dyDescent="0.25">
      <c r="A23" s="133">
        <v>2</v>
      </c>
      <c r="B23" s="188" t="s">
        <v>243</v>
      </c>
      <c r="C23" s="141">
        <f>Distt.Minor!C64</f>
        <v>36</v>
      </c>
      <c r="D23" s="141">
        <f>Distt.Minor!D64</f>
        <v>90.07</v>
      </c>
      <c r="E23" s="141">
        <f>Distt.Minor!E64</f>
        <v>444026</v>
      </c>
      <c r="F23" s="141">
        <f>Distt.Minor!F64</f>
        <v>288617394</v>
      </c>
      <c r="G23" s="141">
        <f>Distt.Minor!G64</f>
        <v>90809769</v>
      </c>
      <c r="H23" s="141">
        <f>Distt.Minor!H64</f>
        <v>325</v>
      </c>
    </row>
    <row r="24" spans="1:15" ht="17.100000000000001" customHeight="1" x14ac:dyDescent="0.25">
      <c r="A24" s="629">
        <v>3</v>
      </c>
      <c r="B24" s="827" t="s">
        <v>249</v>
      </c>
      <c r="C24" s="141">
        <f>Distt.Minor!C216</f>
        <v>0</v>
      </c>
      <c r="D24" s="141">
        <f>Distt.Minor!D216</f>
        <v>0</v>
      </c>
      <c r="E24" s="141">
        <f>Distt.Minor!E216</f>
        <v>0</v>
      </c>
      <c r="F24" s="141">
        <f>Distt.Minor!F216</f>
        <v>0</v>
      </c>
      <c r="G24" s="141">
        <f>Distt.Minor!G216</f>
        <v>0</v>
      </c>
      <c r="H24" s="141">
        <f>Distt.Minor!H216</f>
        <v>0</v>
      </c>
    </row>
    <row r="25" spans="1:15" ht="17.100000000000001" customHeight="1" x14ac:dyDescent="0.25">
      <c r="A25" s="1300" t="s">
        <v>50</v>
      </c>
      <c r="B25" s="1301"/>
      <c r="C25" s="33">
        <f>SUM(C22:C24)</f>
        <v>48</v>
      </c>
      <c r="D25" s="33">
        <f t="shared" ref="D25:H25" si="4">SUM(D22:D24)</f>
        <v>103.13999999999999</v>
      </c>
      <c r="E25" s="33">
        <f t="shared" si="4"/>
        <v>455672</v>
      </c>
      <c r="F25" s="33">
        <f t="shared" si="4"/>
        <v>296303754</v>
      </c>
      <c r="G25" s="33">
        <f t="shared" si="4"/>
        <v>91325959</v>
      </c>
      <c r="H25" s="33">
        <f t="shared" si="4"/>
        <v>365</v>
      </c>
      <c r="J25" s="649">
        <f>'Minor Minerals'!C26</f>
        <v>48</v>
      </c>
      <c r="K25" s="649">
        <f>'Minor Minerals'!D26</f>
        <v>103.13999999999999</v>
      </c>
      <c r="L25" s="649">
        <f>'Minor Minerals'!E26</f>
        <v>455672</v>
      </c>
      <c r="M25" s="649">
        <f>'Minor Minerals'!F26</f>
        <v>296303754</v>
      </c>
      <c r="N25" s="649">
        <f>'Minor Minerals'!G26</f>
        <v>91325959</v>
      </c>
      <c r="O25" s="649">
        <f>'Minor Minerals'!H26</f>
        <v>365</v>
      </c>
    </row>
    <row r="26" spans="1:15" ht="17.100000000000001" customHeight="1" x14ac:dyDescent="0.25">
      <c r="A26" s="136"/>
      <c r="B26" s="136"/>
      <c r="C26" s="136"/>
      <c r="D26" s="136"/>
      <c r="E26" s="136"/>
      <c r="F26" s="136"/>
      <c r="G26" s="136"/>
      <c r="H26" s="136"/>
      <c r="J26" s="128">
        <f>J25-C25</f>
        <v>0</v>
      </c>
      <c r="K26" s="128">
        <f t="shared" ref="K26:O26" si="5">K25-D25</f>
        <v>0</v>
      </c>
      <c r="L26" s="128">
        <f t="shared" si="5"/>
        <v>0</v>
      </c>
      <c r="M26" s="128">
        <f t="shared" si="5"/>
        <v>0</v>
      </c>
      <c r="N26" s="128">
        <f t="shared" si="5"/>
        <v>0</v>
      </c>
      <c r="O26" s="128">
        <f t="shared" si="5"/>
        <v>0</v>
      </c>
    </row>
    <row r="27" spans="1:15" ht="17.100000000000001" customHeight="1" x14ac:dyDescent="0.25">
      <c r="A27" s="136"/>
      <c r="B27" s="1155" t="s">
        <v>133</v>
      </c>
      <c r="C27" s="1155"/>
      <c r="D27" s="1155"/>
      <c r="E27" s="1155"/>
      <c r="F27" s="1155"/>
      <c r="G27" s="1155"/>
      <c r="H27" s="1155"/>
    </row>
    <row r="28" spans="1:15" ht="17.100000000000001" customHeight="1" x14ac:dyDescent="0.25">
      <c r="A28" s="1122" t="s">
        <v>2</v>
      </c>
      <c r="B28" s="1124" t="s">
        <v>270</v>
      </c>
      <c r="C28" s="249" t="s">
        <v>4</v>
      </c>
      <c r="D28" s="249" t="s">
        <v>5</v>
      </c>
      <c r="E28" s="249" t="s">
        <v>6</v>
      </c>
      <c r="F28" s="249" t="s">
        <v>7</v>
      </c>
      <c r="G28" s="249" t="s">
        <v>8</v>
      </c>
      <c r="H28" s="249" t="s">
        <v>9</v>
      </c>
    </row>
    <row r="29" spans="1:15" ht="17.100000000000001" customHeight="1" x14ac:dyDescent="0.25">
      <c r="A29" s="1123"/>
      <c r="B29" s="1125"/>
      <c r="C29" s="2" t="s">
        <v>10</v>
      </c>
      <c r="D29" s="2" t="s">
        <v>52</v>
      </c>
      <c r="E29" s="2" t="s">
        <v>79</v>
      </c>
      <c r="F29" s="52" t="s">
        <v>80</v>
      </c>
      <c r="G29" s="52" t="s">
        <v>80</v>
      </c>
      <c r="H29" s="2" t="s">
        <v>13</v>
      </c>
    </row>
    <row r="30" spans="1:15" ht="17.100000000000001" customHeight="1" x14ac:dyDescent="0.25">
      <c r="A30" s="133">
        <v>1</v>
      </c>
      <c r="B30" s="188" t="s">
        <v>240</v>
      </c>
      <c r="C30" s="63">
        <f>Distt.Minor!C14</f>
        <v>10</v>
      </c>
      <c r="D30" s="63">
        <f>Distt.Minor!D14</f>
        <v>50</v>
      </c>
      <c r="E30" s="63">
        <f>Distt.Minor!E14</f>
        <v>116828.5</v>
      </c>
      <c r="F30" s="63">
        <f>Distt.Minor!F14</f>
        <v>24534090</v>
      </c>
      <c r="G30" s="63">
        <f>Distt.Minor!G14</f>
        <v>1941091</v>
      </c>
      <c r="H30" s="63">
        <f>Distt.Minor!H14</f>
        <v>74</v>
      </c>
    </row>
    <row r="31" spans="1:15" ht="17.100000000000001" customHeight="1" x14ac:dyDescent="0.25">
      <c r="A31" s="133">
        <v>2</v>
      </c>
      <c r="B31" s="188" t="s">
        <v>271</v>
      </c>
      <c r="C31" s="141">
        <f>Distt.Minor!C34</f>
        <v>0</v>
      </c>
      <c r="D31" s="141">
        <f>Distt.Minor!D34</f>
        <v>0</v>
      </c>
      <c r="E31" s="141">
        <f>Distt.Minor!E34</f>
        <v>0</v>
      </c>
      <c r="F31" s="141">
        <f>Distt.Minor!F34</f>
        <v>0</v>
      </c>
      <c r="G31" s="141">
        <f>Distt.Minor!G34</f>
        <v>0</v>
      </c>
      <c r="H31" s="141">
        <f>Distt.Minor!H34</f>
        <v>0</v>
      </c>
    </row>
    <row r="32" spans="1:15" ht="17.100000000000001" customHeight="1" x14ac:dyDescent="0.25">
      <c r="A32" s="133">
        <v>3</v>
      </c>
      <c r="B32" s="188" t="s">
        <v>242</v>
      </c>
      <c r="C32" s="141">
        <f>Distt.Minor!C51</f>
        <v>0</v>
      </c>
      <c r="D32" s="141">
        <f>Distt.Minor!D51</f>
        <v>0</v>
      </c>
      <c r="E32" s="141">
        <f>Distt.Minor!E51</f>
        <v>4356.0200000000004</v>
      </c>
      <c r="F32" s="141">
        <f>Distt.Minor!F51</f>
        <v>958324</v>
      </c>
      <c r="G32" s="141">
        <f>Distt.Minor!G51</f>
        <v>273710</v>
      </c>
      <c r="H32" s="141">
        <f>Distt.Minor!H51</f>
        <v>25</v>
      </c>
    </row>
    <row r="33" spans="1:10" ht="17.100000000000001" customHeight="1" x14ac:dyDescent="0.25">
      <c r="A33" s="133">
        <v>4</v>
      </c>
      <c r="B33" s="188" t="s">
        <v>244</v>
      </c>
      <c r="C33" s="117">
        <f>Distt.Minor!C100</f>
        <v>0</v>
      </c>
      <c r="D33" s="117">
        <f>Distt.Minor!D100</f>
        <v>245.6</v>
      </c>
      <c r="E33" s="117">
        <f>Distt.Minor!E100</f>
        <v>991200</v>
      </c>
      <c r="F33" s="117">
        <f>Distt.Minor!F100</f>
        <v>218064000</v>
      </c>
      <c r="G33" s="117">
        <f>Distt.Minor!G100</f>
        <v>29149172</v>
      </c>
      <c r="H33" s="117">
        <f>Distt.Minor!H100</f>
        <v>4400</v>
      </c>
    </row>
    <row r="34" spans="1:10" ht="17.100000000000001" customHeight="1" x14ac:dyDescent="0.25">
      <c r="A34" s="133">
        <v>5</v>
      </c>
      <c r="B34" s="188" t="s">
        <v>245</v>
      </c>
      <c r="C34" s="141">
        <f>Distt.Minor!C116</f>
        <v>0</v>
      </c>
      <c r="D34" s="141">
        <f>Distt.Minor!D116</f>
        <v>150</v>
      </c>
      <c r="E34" s="141">
        <f>Distt.Minor!E116</f>
        <v>336640</v>
      </c>
      <c r="F34" s="141">
        <f>Distt.Minor!F116</f>
        <v>74060800</v>
      </c>
      <c r="G34" s="141">
        <f>Distt.Minor!G116</f>
        <v>673280</v>
      </c>
      <c r="H34" s="141">
        <f>Distt.Minor!H116</f>
        <v>1650</v>
      </c>
    </row>
    <row r="35" spans="1:10" ht="17.100000000000001" customHeight="1" x14ac:dyDescent="0.25">
      <c r="A35" s="133">
        <v>6</v>
      </c>
      <c r="B35" s="188" t="s">
        <v>246</v>
      </c>
      <c r="C35" s="117">
        <f>Distt.Minor!C139</f>
        <v>0</v>
      </c>
      <c r="D35" s="117">
        <f>Distt.Minor!D139</f>
        <v>0</v>
      </c>
      <c r="E35" s="117">
        <f>Distt.Minor!E139</f>
        <v>753626.3125</v>
      </c>
      <c r="F35" s="117">
        <f>Distt.Minor!F139</f>
        <v>158261525.625</v>
      </c>
      <c r="G35" s="117">
        <f>Distt.Minor!G139</f>
        <v>24116042</v>
      </c>
      <c r="H35" s="117">
        <f>Distt.Minor!H139</f>
        <v>250</v>
      </c>
    </row>
    <row r="36" spans="1:10" ht="17.100000000000001" customHeight="1" x14ac:dyDescent="0.25">
      <c r="A36" s="133">
        <v>7</v>
      </c>
      <c r="B36" s="188" t="s">
        <v>248</v>
      </c>
      <c r="C36" s="141">
        <f>Distt.Minor!C172</f>
        <v>0</v>
      </c>
      <c r="D36" s="141">
        <f>Distt.Minor!D172</f>
        <v>0</v>
      </c>
      <c r="E36" s="141">
        <f>Distt.Minor!E172</f>
        <v>89880</v>
      </c>
      <c r="F36" s="141">
        <f>Distt.Minor!F172</f>
        <v>17976000</v>
      </c>
      <c r="G36" s="141">
        <f>Distt.Minor!G172</f>
        <v>3866038</v>
      </c>
      <c r="H36" s="141">
        <f>Distt.Minor!H172</f>
        <v>40</v>
      </c>
    </row>
    <row r="37" spans="1:10" ht="17.100000000000001" customHeight="1" x14ac:dyDescent="0.25">
      <c r="A37" s="133">
        <v>8</v>
      </c>
      <c r="B37" s="188" t="s">
        <v>284</v>
      </c>
      <c r="C37" s="141">
        <f>Distt.Minor!C195</f>
        <v>4</v>
      </c>
      <c r="D37" s="141">
        <f>Distt.Minor!D195</f>
        <v>3.01</v>
      </c>
      <c r="E37" s="141">
        <f>Distt.Minor!E195</f>
        <v>358070</v>
      </c>
      <c r="F37" s="141">
        <f>Distt.Minor!F195</f>
        <v>89517500</v>
      </c>
      <c r="G37" s="141">
        <f>Distt.Minor!G195</f>
        <v>13337595</v>
      </c>
      <c r="H37" s="141">
        <f>Distt.Minor!H195</f>
        <v>150</v>
      </c>
    </row>
    <row r="38" spans="1:10" ht="17.100000000000001" customHeight="1" x14ac:dyDescent="0.25">
      <c r="A38" s="133">
        <v>9</v>
      </c>
      <c r="B38" s="188" t="s">
        <v>249</v>
      </c>
      <c r="C38" s="141">
        <f>Distt.Minor!C207</f>
        <v>0</v>
      </c>
      <c r="D38" s="141">
        <f>Distt.Minor!D207</f>
        <v>0</v>
      </c>
      <c r="E38" s="141">
        <f>Distt.Minor!E207</f>
        <v>227640</v>
      </c>
      <c r="F38" s="141">
        <f>Distt.Minor!F207</f>
        <v>50080800</v>
      </c>
      <c r="G38" s="141">
        <f>Distt.Minor!G207</f>
        <v>7284480</v>
      </c>
      <c r="H38" s="141">
        <f>Distt.Minor!H207</f>
        <v>150</v>
      </c>
    </row>
    <row r="39" spans="1:10" ht="17.100000000000001" customHeight="1" x14ac:dyDescent="0.25">
      <c r="A39" s="133">
        <v>10</v>
      </c>
      <c r="B39" s="188" t="s">
        <v>250</v>
      </c>
      <c r="C39" s="141">
        <f>Distt.Minor!C240</f>
        <v>0</v>
      </c>
      <c r="D39" s="141">
        <f>Distt.Minor!D240</f>
        <v>0</v>
      </c>
      <c r="E39" s="141">
        <f>Distt.Minor!E240</f>
        <v>57645</v>
      </c>
      <c r="F39" s="141">
        <f>Distt.Minor!F240</f>
        <v>11529000</v>
      </c>
      <c r="G39" s="141">
        <f>Distt.Minor!G240</f>
        <v>1844640</v>
      </c>
      <c r="H39" s="141">
        <f>Distt.Minor!H240</f>
        <v>80</v>
      </c>
    </row>
    <row r="40" spans="1:10" ht="17.100000000000001" customHeight="1" x14ac:dyDescent="0.25">
      <c r="A40" s="133">
        <v>11</v>
      </c>
      <c r="B40" s="191" t="s">
        <v>285</v>
      </c>
      <c r="C40" s="190">
        <f>Distt.Minor!C226</f>
        <v>0</v>
      </c>
      <c r="D40" s="190">
        <f>Distt.Minor!D226</f>
        <v>0</v>
      </c>
      <c r="E40" s="190">
        <f>Distt.Minor!E226</f>
        <v>819000</v>
      </c>
      <c r="F40" s="190">
        <f>Distt.Minor!F226</f>
        <v>188370000</v>
      </c>
      <c r="G40" s="190">
        <f>Distt.Minor!G226</f>
        <v>23247431</v>
      </c>
      <c r="H40" s="190">
        <f>Distt.Minor!H226</f>
        <v>625</v>
      </c>
    </row>
    <row r="41" spans="1:10" ht="17.100000000000001" customHeight="1" x14ac:dyDescent="0.25">
      <c r="A41" s="133">
        <v>12</v>
      </c>
      <c r="B41" s="188" t="s">
        <v>415</v>
      </c>
      <c r="C41" s="133">
        <f>Distt.Minor!C250</f>
        <v>0</v>
      </c>
      <c r="D41" s="133">
        <f>Distt.Minor!D250</f>
        <v>0</v>
      </c>
      <c r="E41" s="133">
        <f>Distt.Minor!E250</f>
        <v>4317960</v>
      </c>
      <c r="F41" s="133">
        <f>Distt.Minor!F250</f>
        <v>949951200</v>
      </c>
      <c r="G41" s="133">
        <f>Distt.Minor!G250</f>
        <v>144986151</v>
      </c>
      <c r="H41" s="133">
        <f>Distt.Minor!H250</f>
        <v>3500</v>
      </c>
    </row>
    <row r="42" spans="1:10" ht="17.100000000000001" customHeight="1" x14ac:dyDescent="0.25">
      <c r="A42" s="133">
        <v>13</v>
      </c>
      <c r="B42" s="188" t="s">
        <v>254</v>
      </c>
      <c r="C42" s="133">
        <f>Distt.Minor!C271</f>
        <v>9</v>
      </c>
      <c r="D42" s="133">
        <f>Distt.Minor!D271</f>
        <v>28</v>
      </c>
      <c r="E42" s="133">
        <f>Distt.Minor!E271</f>
        <v>0</v>
      </c>
      <c r="F42" s="133">
        <f>Distt.Minor!F271</f>
        <v>0</v>
      </c>
      <c r="G42" s="133">
        <f>Distt.Minor!G271</f>
        <v>0</v>
      </c>
      <c r="H42" s="133">
        <f>Distt.Minor!H271</f>
        <v>0</v>
      </c>
    </row>
    <row r="43" spans="1:10" ht="17.100000000000001" customHeight="1" x14ac:dyDescent="0.25">
      <c r="A43" s="133">
        <v>14</v>
      </c>
      <c r="B43" s="188" t="s">
        <v>252</v>
      </c>
      <c r="C43" s="141">
        <f>Distt.Minor!C289</f>
        <v>0</v>
      </c>
      <c r="D43" s="141">
        <f>Distt.Minor!D289</f>
        <v>0</v>
      </c>
      <c r="E43" s="141">
        <f>Distt.Minor!E289</f>
        <v>1034734</v>
      </c>
      <c r="F43" s="141">
        <f>Distt.Minor!F289</f>
        <v>210722127</v>
      </c>
      <c r="G43" s="141">
        <f>Distt.Minor!G289</f>
        <v>58228242</v>
      </c>
      <c r="H43" s="141">
        <f>Distt.Minor!H289</f>
        <v>4850</v>
      </c>
    </row>
    <row r="44" spans="1:10" ht="17.100000000000001" customHeight="1" x14ac:dyDescent="0.25">
      <c r="A44" s="133">
        <v>15</v>
      </c>
      <c r="B44" s="188" t="s">
        <v>416</v>
      </c>
      <c r="C44" s="116">
        <f>Distt.Minor!C344</f>
        <v>0</v>
      </c>
      <c r="D44" s="116">
        <f>Distt.Minor!D344</f>
        <v>0</v>
      </c>
      <c r="E44" s="116">
        <f>Distt.Minor!E344</f>
        <v>707468</v>
      </c>
      <c r="F44" s="116">
        <f>Distt.Minor!F344</f>
        <v>176867187</v>
      </c>
      <c r="G44" s="116">
        <f>Distt.Minor!G344</f>
        <v>22639000</v>
      </c>
      <c r="H44" s="116">
        <f>Distt.Minor!H344</f>
        <v>250</v>
      </c>
    </row>
    <row r="45" spans="1:10" ht="17.100000000000001" customHeight="1" x14ac:dyDescent="0.25">
      <c r="A45" s="133">
        <v>16</v>
      </c>
      <c r="B45" s="188" t="s">
        <v>288</v>
      </c>
      <c r="C45" s="141">
        <f>Distt.Minor!C382</f>
        <v>15</v>
      </c>
      <c r="D45" s="141">
        <f>Distt.Minor!D382</f>
        <v>35</v>
      </c>
      <c r="E45" s="141">
        <f>Distt.Minor!E382</f>
        <v>0</v>
      </c>
      <c r="F45" s="141">
        <f>Distt.Minor!F382</f>
        <v>0</v>
      </c>
      <c r="G45" s="141">
        <f>Distt.Minor!G382</f>
        <v>0</v>
      </c>
      <c r="H45" s="141">
        <f>Distt.Minor!H382</f>
        <v>0</v>
      </c>
    </row>
    <row r="46" spans="1:10" ht="17.100000000000001" customHeight="1" x14ac:dyDescent="0.25">
      <c r="A46" s="133">
        <v>17</v>
      </c>
      <c r="B46" s="188" t="s">
        <v>264</v>
      </c>
      <c r="C46" s="133">
        <f>Distt.Minor!C519</f>
        <v>0</v>
      </c>
      <c r="D46" s="133">
        <f>Distt.Minor!D519</f>
        <v>0</v>
      </c>
      <c r="E46" s="133">
        <f>Distt.Minor!E519</f>
        <v>772647.83870967745</v>
      </c>
      <c r="F46" s="133">
        <f>Distt.Minor!F519</f>
        <v>162256046.12903225</v>
      </c>
      <c r="G46" s="133">
        <f>Distt.Minor!G519</f>
        <v>23952083</v>
      </c>
      <c r="H46" s="133">
        <f>Distt.Minor!H519</f>
        <v>250</v>
      </c>
    </row>
    <row r="47" spans="1:10" ht="17.100000000000001" customHeight="1" x14ac:dyDescent="0.25">
      <c r="A47" s="133">
        <v>18</v>
      </c>
      <c r="B47" s="188" t="s">
        <v>428</v>
      </c>
      <c r="C47" s="193">
        <f>Distt.Minor!C505</f>
        <v>0</v>
      </c>
      <c r="D47" s="193">
        <f>Distt.Minor!D505</f>
        <v>0</v>
      </c>
      <c r="E47" s="193">
        <f>Distt.Minor!E505</f>
        <v>3622500</v>
      </c>
      <c r="F47" s="193">
        <f>Distt.Minor!F505</f>
        <v>905625000</v>
      </c>
      <c r="G47" s="193">
        <f>Distt.Minor!G505</f>
        <v>143446433</v>
      </c>
      <c r="H47" s="193">
        <f>Distt.Minor!H505</f>
        <v>240</v>
      </c>
      <c r="J47" s="123" t="s">
        <v>131</v>
      </c>
    </row>
    <row r="48" spans="1:10" ht="17.100000000000001" customHeight="1" x14ac:dyDescent="0.25">
      <c r="A48" s="133">
        <v>19</v>
      </c>
      <c r="B48" s="188" t="s">
        <v>475</v>
      </c>
      <c r="C48" s="193">
        <f>Distt.Minor!C491</f>
        <v>0</v>
      </c>
      <c r="D48" s="193">
        <f>Distt.Minor!D491</f>
        <v>0</v>
      </c>
      <c r="E48" s="193">
        <f>Distt.Minor!E491</f>
        <v>11890</v>
      </c>
      <c r="F48" s="193">
        <f>Distt.Minor!F491</f>
        <v>2496900</v>
      </c>
      <c r="G48" s="193">
        <f>Distt.Minor!G491</f>
        <v>380480</v>
      </c>
      <c r="H48" s="193">
        <f>Distt.Minor!H491</f>
        <v>10</v>
      </c>
    </row>
    <row r="49" spans="1:15" ht="17.100000000000001" customHeight="1" x14ac:dyDescent="0.25">
      <c r="A49" s="133">
        <v>20</v>
      </c>
      <c r="B49" s="188" t="s">
        <v>267</v>
      </c>
      <c r="C49" s="193">
        <f>Distt.Minor!C572</f>
        <v>0</v>
      </c>
      <c r="D49" s="193">
        <f>Distt.Minor!D572</f>
        <v>0</v>
      </c>
      <c r="E49" s="193">
        <f>Distt.Minor!E572</f>
        <v>0</v>
      </c>
      <c r="F49" s="193">
        <f>Distt.Minor!F572</f>
        <v>0</v>
      </c>
      <c r="G49" s="193">
        <f>Distt.Minor!G572</f>
        <v>0</v>
      </c>
      <c r="H49" s="193">
        <f>Distt.Minor!H572</f>
        <v>0</v>
      </c>
    </row>
    <row r="50" spans="1:15" ht="17.100000000000001" customHeight="1" x14ac:dyDescent="0.25">
      <c r="A50" s="133">
        <v>21</v>
      </c>
      <c r="B50" s="188" t="s">
        <v>278</v>
      </c>
      <c r="C50" s="205">
        <f>Distt.Minor!C555</f>
        <v>0</v>
      </c>
      <c r="D50" s="205">
        <f>Distt.Minor!D555</f>
        <v>0</v>
      </c>
      <c r="E50" s="205">
        <f>Distt.Minor!E555</f>
        <v>0</v>
      </c>
      <c r="F50" s="205">
        <f>Distt.Minor!F555</f>
        <v>0</v>
      </c>
      <c r="G50" s="205">
        <f>Distt.Minor!G555</f>
        <v>0</v>
      </c>
      <c r="H50" s="205">
        <f>Distt.Minor!H555</f>
        <v>0</v>
      </c>
    </row>
    <row r="51" spans="1:15" ht="17.100000000000001" customHeight="1" x14ac:dyDescent="0.25">
      <c r="A51" s="1300" t="s">
        <v>50</v>
      </c>
      <c r="B51" s="1301"/>
      <c r="C51" s="35">
        <f t="shared" ref="C51:H51" si="6">SUM(C30:C50)</f>
        <v>38</v>
      </c>
      <c r="D51" s="34">
        <f t="shared" si="6"/>
        <v>511.61</v>
      </c>
      <c r="E51" s="33">
        <f t="shared" si="6"/>
        <v>14222085.671209676</v>
      </c>
      <c r="F51" s="33">
        <f t="shared" si="6"/>
        <v>3241270499.7540321</v>
      </c>
      <c r="G51" s="33">
        <f t="shared" si="6"/>
        <v>499365868</v>
      </c>
      <c r="H51" s="33">
        <f t="shared" si="6"/>
        <v>16544</v>
      </c>
      <c r="J51" s="240">
        <f>'Minor Minerals'!C56</f>
        <v>38</v>
      </c>
      <c r="K51" s="240">
        <f>'Minor Minerals'!D56</f>
        <v>511.61</v>
      </c>
      <c r="L51" s="240">
        <f>'Minor Minerals'!E56</f>
        <v>14222085.671209676</v>
      </c>
      <c r="M51" s="240">
        <f>'Minor Minerals'!F56</f>
        <v>3241270499.7540321</v>
      </c>
      <c r="N51" s="240">
        <f>'Minor Minerals'!G56</f>
        <v>499365868</v>
      </c>
      <c r="O51" s="240">
        <f>'Minor Minerals'!H56</f>
        <v>16544</v>
      </c>
    </row>
    <row r="52" spans="1:15" ht="17.100000000000001" customHeight="1" x14ac:dyDescent="0.25">
      <c r="A52" s="136"/>
      <c r="B52" s="136"/>
      <c r="C52" s="136"/>
      <c r="D52" s="136"/>
      <c r="E52" s="136"/>
      <c r="F52" s="136"/>
      <c r="G52" s="136"/>
      <c r="H52" s="136"/>
      <c r="J52" s="128">
        <f>J51-C51</f>
        <v>0</v>
      </c>
      <c r="K52" s="128">
        <f t="shared" ref="K52:O52" si="7">K51-D51</f>
        <v>0</v>
      </c>
      <c r="L52" s="128">
        <f t="shared" si="7"/>
        <v>0</v>
      </c>
      <c r="M52" s="128">
        <f t="shared" si="7"/>
        <v>0</v>
      </c>
      <c r="N52" s="128">
        <f t="shared" si="7"/>
        <v>0</v>
      </c>
      <c r="O52" s="128">
        <f t="shared" si="7"/>
        <v>0</v>
      </c>
    </row>
    <row r="53" spans="1:15" ht="17.100000000000001" customHeight="1" x14ac:dyDescent="0.3">
      <c r="A53" s="1142" t="s">
        <v>25</v>
      </c>
      <c r="B53" s="1142"/>
      <c r="C53" s="1142"/>
      <c r="D53" s="1142"/>
      <c r="E53" s="1142"/>
      <c r="F53" s="1142"/>
      <c r="G53" s="1142"/>
      <c r="H53" s="1142"/>
    </row>
    <row r="54" spans="1:15" ht="17.100000000000001" customHeight="1" x14ac:dyDescent="0.25">
      <c r="A54" s="1122" t="s">
        <v>2</v>
      </c>
      <c r="B54" s="1124" t="s">
        <v>270</v>
      </c>
      <c r="C54" s="249" t="s">
        <v>4</v>
      </c>
      <c r="D54" s="249" t="s">
        <v>5</v>
      </c>
      <c r="E54" s="249" t="s">
        <v>6</v>
      </c>
      <c r="F54" s="249" t="s">
        <v>7</v>
      </c>
      <c r="G54" s="249" t="s">
        <v>8</v>
      </c>
      <c r="H54" s="249" t="s">
        <v>9</v>
      </c>
    </row>
    <row r="55" spans="1:15" ht="17.100000000000001" customHeight="1" x14ac:dyDescent="0.25">
      <c r="A55" s="1123"/>
      <c r="B55" s="1125"/>
      <c r="C55" s="2" t="s">
        <v>10</v>
      </c>
      <c r="D55" s="2" t="s">
        <v>78</v>
      </c>
      <c r="E55" s="2" t="s">
        <v>79</v>
      </c>
      <c r="F55" s="52" t="s">
        <v>80</v>
      </c>
      <c r="G55" s="52" t="s">
        <v>80</v>
      </c>
      <c r="H55" s="2" t="s">
        <v>13</v>
      </c>
    </row>
    <row r="56" spans="1:15" ht="17.100000000000001" customHeight="1" x14ac:dyDescent="0.25">
      <c r="A56" s="133">
        <v>1</v>
      </c>
      <c r="B56" s="192" t="s">
        <v>245</v>
      </c>
      <c r="C56" s="133">
        <f>Distt.Minor!C121</f>
        <v>8</v>
      </c>
      <c r="D56" s="133">
        <f>Distt.Minor!D121</f>
        <v>85.91</v>
      </c>
      <c r="E56" s="133">
        <f>Distt.Minor!E121</f>
        <v>10011.739622641509</v>
      </c>
      <c r="F56" s="133">
        <f>Distt.Minor!F121</f>
        <v>8509978.6792452838</v>
      </c>
      <c r="G56" s="133">
        <f>Distt.Minor!G121</f>
        <v>2653111</v>
      </c>
      <c r="H56" s="133">
        <f>Distt.Minor!H121</f>
        <v>50</v>
      </c>
    </row>
    <row r="57" spans="1:15" ht="17.100000000000001" customHeight="1" x14ac:dyDescent="0.25">
      <c r="A57" s="133">
        <v>2</v>
      </c>
      <c r="B57" s="194" t="s">
        <v>256</v>
      </c>
      <c r="C57" s="193">
        <f>Distt.Minor!C346</f>
        <v>4</v>
      </c>
      <c r="D57" s="193">
        <f>Distt.Minor!D346</f>
        <v>19.887499999999999</v>
      </c>
      <c r="E57" s="193">
        <f>Distt.Minor!E346</f>
        <v>2186</v>
      </c>
      <c r="F57" s="193">
        <f>Distt.Minor!F346</f>
        <v>1858100</v>
      </c>
      <c r="G57" s="193">
        <f>Distt.Minor!G346</f>
        <v>4353000</v>
      </c>
      <c r="H57" s="193">
        <v>0</v>
      </c>
    </row>
    <row r="58" spans="1:15" ht="17.100000000000001" customHeight="1" x14ac:dyDescent="0.25">
      <c r="A58" s="133">
        <v>3</v>
      </c>
      <c r="B58" s="192" t="s">
        <v>252</v>
      </c>
      <c r="C58" s="195">
        <f>Distt.Minor!C287</f>
        <v>0</v>
      </c>
      <c r="D58" s="195">
        <f>Distt.Minor!D287</f>
        <v>0</v>
      </c>
      <c r="E58" s="195">
        <f>Distt.Minor!E287</f>
        <v>0</v>
      </c>
      <c r="F58" s="195">
        <f>Distt.Minor!F287</f>
        <v>0</v>
      </c>
      <c r="G58" s="195">
        <f>Distt.Minor!G287</f>
        <v>0</v>
      </c>
      <c r="H58" s="195">
        <f>Distt.Minor!H287</f>
        <v>0</v>
      </c>
    </row>
    <row r="59" spans="1:15" ht="17.100000000000001" customHeight="1" x14ac:dyDescent="0.25">
      <c r="A59" s="133">
        <v>4</v>
      </c>
      <c r="B59" s="192" t="s">
        <v>425</v>
      </c>
      <c r="C59" s="151">
        <f>Distt.Minor!C454</f>
        <v>0</v>
      </c>
      <c r="D59" s="151">
        <f>Distt.Minor!D454</f>
        <v>0</v>
      </c>
      <c r="E59" s="151">
        <f>Distt.Minor!E454</f>
        <v>0</v>
      </c>
      <c r="F59" s="151">
        <f>Distt.Minor!F454</f>
        <v>0</v>
      </c>
      <c r="G59" s="151">
        <f>Distt.Minor!G454</f>
        <v>0</v>
      </c>
      <c r="H59" s="151">
        <f>Distt.Minor!H454</f>
        <v>0</v>
      </c>
    </row>
    <row r="60" spans="1:15" ht="17.100000000000001" customHeight="1" x14ac:dyDescent="0.25">
      <c r="A60" s="133">
        <v>5</v>
      </c>
      <c r="B60" s="192" t="s">
        <v>275</v>
      </c>
      <c r="C60" s="196">
        <f>Distt.Minor!C467</f>
        <v>0</v>
      </c>
      <c r="D60" s="196">
        <f>Distt.Minor!D467</f>
        <v>0</v>
      </c>
      <c r="E60" s="196">
        <f>Distt.Minor!E467</f>
        <v>0</v>
      </c>
      <c r="F60" s="196">
        <f>Distt.Minor!F467</f>
        <v>0</v>
      </c>
      <c r="G60" s="196">
        <f>Distt.Minor!G467</f>
        <v>0</v>
      </c>
      <c r="H60" s="196">
        <f>Distt.Minor!H467</f>
        <v>0</v>
      </c>
    </row>
    <row r="61" spans="1:15" ht="17.100000000000001" customHeight="1" x14ac:dyDescent="0.25">
      <c r="A61" s="133">
        <v>6</v>
      </c>
      <c r="B61" s="192" t="s">
        <v>264</v>
      </c>
      <c r="C61" s="119">
        <f>Distt.Minor!C522</f>
        <v>6</v>
      </c>
      <c r="D61" s="119">
        <f>Distt.Minor!D522</f>
        <v>97.51</v>
      </c>
      <c r="E61" s="119">
        <f>Distt.Minor!E522</f>
        <v>4263</v>
      </c>
      <c r="F61" s="119">
        <f>Distt.Minor!F522</f>
        <v>3623823</v>
      </c>
      <c r="G61" s="119">
        <f>Distt.Minor!G522</f>
        <v>3235557</v>
      </c>
      <c r="H61" s="119">
        <f>Distt.Minor!H522</f>
        <v>10</v>
      </c>
    </row>
    <row r="62" spans="1:15" ht="17.100000000000001" customHeight="1" x14ac:dyDescent="0.25">
      <c r="A62" s="133">
        <v>7</v>
      </c>
      <c r="B62" s="192" t="s">
        <v>265</v>
      </c>
      <c r="C62" s="190">
        <f>Distt.Minor!C542</f>
        <v>6</v>
      </c>
      <c r="D62" s="190">
        <f>Distt.Minor!D542</f>
        <v>196.45</v>
      </c>
      <c r="E62" s="190">
        <f>Distt.Minor!E542</f>
        <v>8086</v>
      </c>
      <c r="F62" s="190">
        <f>Distt.Minor!F542</f>
        <v>6873092</v>
      </c>
      <c r="G62" s="190">
        <f>Distt.Minor!G542</f>
        <v>2614327</v>
      </c>
      <c r="H62" s="190">
        <f>Distt.Minor!H542</f>
        <v>150</v>
      </c>
    </row>
    <row r="63" spans="1:15" ht="17.100000000000001" customHeight="1" x14ac:dyDescent="0.25">
      <c r="A63" s="133">
        <v>8</v>
      </c>
      <c r="B63" s="192" t="s">
        <v>267</v>
      </c>
      <c r="C63" s="133">
        <f>Distt.Minor!C585</f>
        <v>12</v>
      </c>
      <c r="D63" s="133">
        <f>Distt.Minor!D585</f>
        <v>130.97</v>
      </c>
      <c r="E63" s="133">
        <f>Distt.Minor!E585</f>
        <v>69971</v>
      </c>
      <c r="F63" s="133">
        <f>Distt.Minor!F585</f>
        <v>59475884.636401966</v>
      </c>
      <c r="G63" s="133">
        <f>Distt.Minor!G585</f>
        <v>7615607</v>
      </c>
      <c r="H63" s="133">
        <f>Distt.Minor!H585</f>
        <v>43</v>
      </c>
    </row>
    <row r="64" spans="1:15" ht="17.100000000000001" customHeight="1" x14ac:dyDescent="0.25">
      <c r="A64" s="1300" t="s">
        <v>50</v>
      </c>
      <c r="B64" s="1301"/>
      <c r="C64" s="4">
        <f t="shared" ref="C64:H64" si="8">SUM(C56:C63)</f>
        <v>36</v>
      </c>
      <c r="D64" s="5">
        <f t="shared" si="8"/>
        <v>530.72749999999996</v>
      </c>
      <c r="E64" s="5">
        <f t="shared" si="8"/>
        <v>94517.7396226415</v>
      </c>
      <c r="F64" s="7">
        <f t="shared" si="8"/>
        <v>80340878.315647244</v>
      </c>
      <c r="G64" s="7">
        <f t="shared" si="8"/>
        <v>20471602</v>
      </c>
      <c r="H64" s="4">
        <f t="shared" si="8"/>
        <v>253</v>
      </c>
      <c r="J64" s="650">
        <f>'Minor Minerals'!C70</f>
        <v>36</v>
      </c>
      <c r="K64" s="650">
        <f>'Minor Minerals'!D70</f>
        <v>530.72749999999996</v>
      </c>
      <c r="L64" s="650">
        <f>'Minor Minerals'!E70</f>
        <v>94517.7396226415</v>
      </c>
      <c r="M64" s="650">
        <f>'Minor Minerals'!F70</f>
        <v>80340878.315647244</v>
      </c>
      <c r="N64" s="650">
        <f>'Minor Minerals'!G70</f>
        <v>20471602</v>
      </c>
      <c r="O64" s="650">
        <f>'Minor Minerals'!H70</f>
        <v>264</v>
      </c>
    </row>
    <row r="65" spans="1:15" ht="17.100000000000001" customHeight="1" x14ac:dyDescent="0.25">
      <c r="A65" s="135"/>
      <c r="B65" s="8"/>
      <c r="C65" s="9"/>
      <c r="D65" s="10"/>
      <c r="E65" s="11"/>
      <c r="F65" s="11"/>
      <c r="G65" s="11"/>
      <c r="H65" s="9"/>
      <c r="J65" s="123">
        <f>J64-C64</f>
        <v>0</v>
      </c>
      <c r="K65" s="123">
        <f t="shared" ref="K65:O65" si="9">K64-D64</f>
        <v>0</v>
      </c>
      <c r="L65" s="123">
        <f t="shared" si="9"/>
        <v>0</v>
      </c>
      <c r="M65" s="123">
        <f t="shared" si="9"/>
        <v>0</v>
      </c>
      <c r="N65" s="123">
        <f t="shared" si="9"/>
        <v>0</v>
      </c>
      <c r="O65" s="123">
        <f t="shared" si="9"/>
        <v>11</v>
      </c>
    </row>
    <row r="66" spans="1:15" ht="17.100000000000001" customHeight="1" x14ac:dyDescent="0.3">
      <c r="A66" s="1142" t="s">
        <v>26</v>
      </c>
      <c r="B66" s="1142"/>
      <c r="C66" s="1142"/>
      <c r="D66" s="1142"/>
      <c r="E66" s="1142"/>
      <c r="F66" s="1142"/>
      <c r="G66" s="1142"/>
      <c r="H66" s="1142"/>
    </row>
    <row r="67" spans="1:15" ht="17.100000000000001" customHeight="1" x14ac:dyDescent="0.25">
      <c r="A67" s="1122" t="s">
        <v>2</v>
      </c>
      <c r="B67" s="1124" t="s">
        <v>270</v>
      </c>
      <c r="C67" s="249" t="s">
        <v>4</v>
      </c>
      <c r="D67" s="249" t="s">
        <v>5</v>
      </c>
      <c r="E67" s="249" t="s">
        <v>6</v>
      </c>
      <c r="F67" s="249" t="s">
        <v>7</v>
      </c>
      <c r="G67" s="249" t="s">
        <v>8</v>
      </c>
      <c r="H67" s="249" t="s">
        <v>9</v>
      </c>
    </row>
    <row r="68" spans="1:15" ht="17.100000000000001" customHeight="1" x14ac:dyDescent="0.25">
      <c r="A68" s="1123"/>
      <c r="B68" s="1125"/>
      <c r="C68" s="2" t="s">
        <v>10</v>
      </c>
      <c r="D68" s="2" t="s">
        <v>78</v>
      </c>
      <c r="E68" s="2" t="s">
        <v>79</v>
      </c>
      <c r="F68" s="52" t="s">
        <v>80</v>
      </c>
      <c r="G68" s="52" t="s">
        <v>80</v>
      </c>
      <c r="H68" s="2" t="s">
        <v>13</v>
      </c>
    </row>
    <row r="69" spans="1:15" ht="17.100000000000001" customHeight="1" x14ac:dyDescent="0.25">
      <c r="A69" s="133">
        <v>1</v>
      </c>
      <c r="B69" s="192" t="s">
        <v>243</v>
      </c>
      <c r="C69" s="133">
        <f>Distt.Minor!C69</f>
        <v>2</v>
      </c>
      <c r="D69" s="133">
        <f>Distt.Minor!D69</f>
        <v>10</v>
      </c>
      <c r="E69" s="133">
        <f>Distt.Minor!E69</f>
        <v>0</v>
      </c>
      <c r="F69" s="133">
        <f>Distt.Minor!F69</f>
        <v>0</v>
      </c>
      <c r="G69" s="133">
        <f>Distt.Minor!G69</f>
        <v>280705</v>
      </c>
      <c r="H69" s="133">
        <f>Distt.Minor!H69</f>
        <v>2</v>
      </c>
    </row>
    <row r="70" spans="1:15" ht="17.100000000000001" customHeight="1" x14ac:dyDescent="0.25">
      <c r="A70" s="133">
        <v>2</v>
      </c>
      <c r="B70" s="192" t="s">
        <v>247</v>
      </c>
      <c r="C70" s="133">
        <f>Distt.Minor!C157</f>
        <v>4</v>
      </c>
      <c r="D70" s="133">
        <f>Distt.Minor!D157</f>
        <v>74.62</v>
      </c>
      <c r="E70" s="133">
        <f>Distt.Minor!E157</f>
        <v>24418.99</v>
      </c>
      <c r="F70" s="133">
        <f>Distt.Minor!F157</f>
        <v>10744355.600000001</v>
      </c>
      <c r="G70" s="133">
        <f>Distt.Minor!G157</f>
        <v>754734</v>
      </c>
      <c r="H70" s="133">
        <f>Distt.Minor!H157</f>
        <v>25</v>
      </c>
    </row>
    <row r="71" spans="1:15" ht="17.100000000000001" customHeight="1" x14ac:dyDescent="0.25">
      <c r="A71" s="133">
        <v>3</v>
      </c>
      <c r="B71" s="192" t="s">
        <v>245</v>
      </c>
      <c r="C71" s="133">
        <f>Distt.Minor!C122</f>
        <v>33</v>
      </c>
      <c r="D71" s="133">
        <f>Distt.Minor!D122</f>
        <v>1149.76</v>
      </c>
      <c r="E71" s="133">
        <f>Distt.Minor!E122</f>
        <v>598408</v>
      </c>
      <c r="F71" s="133">
        <f>Distt.Minor!F122</f>
        <v>268639984</v>
      </c>
      <c r="G71" s="133">
        <f>Distt.Minor!G122</f>
        <v>37307380</v>
      </c>
      <c r="H71" s="133">
        <f>Distt.Minor!H122</f>
        <v>280</v>
      </c>
    </row>
    <row r="72" spans="1:15" ht="17.100000000000001" customHeight="1" x14ac:dyDescent="0.25">
      <c r="A72" s="133">
        <v>4</v>
      </c>
      <c r="B72" s="192" t="s">
        <v>248</v>
      </c>
      <c r="C72" s="190">
        <f>Distt.Minor!C181</f>
        <v>36</v>
      </c>
      <c r="D72" s="190">
        <f>Distt.Minor!D181</f>
        <v>289.81900000000002</v>
      </c>
      <c r="E72" s="190">
        <f>Distt.Minor!E181</f>
        <v>861501</v>
      </c>
      <c r="F72" s="190">
        <f>Distt.Minor!F181</f>
        <v>388832108</v>
      </c>
      <c r="G72" s="190">
        <f>Distt.Minor!G181</f>
        <v>37706443</v>
      </c>
      <c r="H72" s="190">
        <f>Distt.Minor!H181</f>
        <v>1200</v>
      </c>
      <c r="K72" s="536"/>
    </row>
    <row r="73" spans="1:15" ht="17.100000000000001" customHeight="1" x14ac:dyDescent="0.25">
      <c r="A73" s="133">
        <v>5</v>
      </c>
      <c r="B73" s="192" t="s">
        <v>252</v>
      </c>
      <c r="C73" s="133">
        <f>Distt.Minor!C291+Distt.Minor!C293</f>
        <v>6</v>
      </c>
      <c r="D73" s="133">
        <f>Distt.Minor!D291+Distt.Minor!D293</f>
        <v>1110.3500000000001</v>
      </c>
      <c r="E73" s="133">
        <f>Distt.Minor!E291+Distt.Minor!E293</f>
        <v>95392</v>
      </c>
      <c r="F73" s="133">
        <f>Distt.Minor!F291+Distt.Minor!F293</f>
        <v>41018818</v>
      </c>
      <c r="G73" s="133">
        <f>Distt.Minor!G291+Distt.Minor!G293</f>
        <v>8281292</v>
      </c>
      <c r="H73" s="133">
        <f>Distt.Minor!H291+Distt.Minor!H293</f>
        <v>20</v>
      </c>
    </row>
    <row r="74" spans="1:15" ht="17.100000000000001" customHeight="1" x14ac:dyDescent="0.25">
      <c r="A74" s="133">
        <v>6</v>
      </c>
      <c r="B74" s="192" t="s">
        <v>273</v>
      </c>
      <c r="C74" s="117">
        <f>Distt.Minor!C383</f>
        <v>13</v>
      </c>
      <c r="D74" s="117">
        <f>Distt.Minor!D383</f>
        <v>62</v>
      </c>
      <c r="E74" s="117">
        <f>Distt.Minor!E383</f>
        <v>83442</v>
      </c>
      <c r="F74" s="117">
        <f>Distt.Minor!F383</f>
        <v>25032600</v>
      </c>
      <c r="G74" s="117">
        <f>Distt.Minor!G383</f>
        <v>2275513</v>
      </c>
      <c r="H74" s="117">
        <f>Distt.Minor!H383</f>
        <v>25</v>
      </c>
    </row>
    <row r="75" spans="1:15" ht="17.100000000000001" customHeight="1" x14ac:dyDescent="0.25">
      <c r="A75" s="133">
        <v>7</v>
      </c>
      <c r="B75" s="192" t="s">
        <v>259</v>
      </c>
      <c r="C75" s="197">
        <f>Distt.Minor!C414</f>
        <v>340</v>
      </c>
      <c r="D75" s="197">
        <f>Distt.Minor!D414</f>
        <v>1146.94</v>
      </c>
      <c r="E75" s="197">
        <f>Distt.Minor!E414</f>
        <v>3442586</v>
      </c>
      <c r="F75" s="197">
        <f>Distt.Minor!F414</f>
        <v>1497696192</v>
      </c>
      <c r="G75" s="197">
        <f>Distt.Minor!G414</f>
        <v>220184068</v>
      </c>
      <c r="H75" s="197">
        <f>Distt.Minor!H414</f>
        <v>1092</v>
      </c>
    </row>
    <row r="76" spans="1:15" ht="17.100000000000001" customHeight="1" x14ac:dyDescent="0.25">
      <c r="A76" s="133">
        <v>8</v>
      </c>
      <c r="B76" s="192" t="s">
        <v>260</v>
      </c>
      <c r="C76" s="133">
        <f>Distt.Minor!C433</f>
        <v>39</v>
      </c>
      <c r="D76" s="133">
        <f>Distt.Minor!D433</f>
        <v>750.66</v>
      </c>
      <c r="E76" s="133">
        <f>Distt.Minor!E433</f>
        <v>757459</v>
      </c>
      <c r="F76" s="133">
        <f>Distt.Minor!F433</f>
        <v>340856730</v>
      </c>
      <c r="G76" s="133">
        <f>Distt.Minor!G433</f>
        <v>36232216</v>
      </c>
      <c r="H76" s="133">
        <f>Distt.Minor!H433</f>
        <v>180</v>
      </c>
    </row>
    <row r="77" spans="1:15" ht="17.100000000000001" customHeight="1" x14ac:dyDescent="0.25">
      <c r="A77" s="133">
        <v>9</v>
      </c>
      <c r="B77" s="192" t="s">
        <v>421</v>
      </c>
      <c r="C77" s="133">
        <f>Distt.Minor!C495</f>
        <v>1</v>
      </c>
      <c r="D77" s="133">
        <f>Distt.Minor!D495</f>
        <v>23.94</v>
      </c>
      <c r="E77" s="133">
        <f>Distt.Minor!E495</f>
        <v>24341</v>
      </c>
      <c r="F77" s="133">
        <f>Distt.Minor!F495</f>
        <v>10710136</v>
      </c>
      <c r="G77" s="133">
        <f>Distt.Minor!G495</f>
        <v>1734579</v>
      </c>
      <c r="H77" s="133">
        <f>Distt.Minor!H495</f>
        <v>25</v>
      </c>
    </row>
    <row r="78" spans="1:15" ht="17.100000000000001" customHeight="1" x14ac:dyDescent="0.25">
      <c r="A78" s="133">
        <v>10</v>
      </c>
      <c r="B78" s="192" t="s">
        <v>264</v>
      </c>
      <c r="C78" s="133">
        <f>Distt.Minor!C523</f>
        <v>0</v>
      </c>
      <c r="D78" s="133">
        <f>Distt.Minor!D523</f>
        <v>0</v>
      </c>
      <c r="E78" s="133">
        <f>Distt.Minor!E523</f>
        <v>0</v>
      </c>
      <c r="F78" s="133">
        <f>Distt.Minor!F523</f>
        <v>0</v>
      </c>
      <c r="G78" s="133">
        <f>Distt.Minor!G523</f>
        <v>0</v>
      </c>
      <c r="H78" s="133">
        <f>Distt.Minor!H523</f>
        <v>0</v>
      </c>
    </row>
    <row r="79" spans="1:15" ht="17.100000000000001" customHeight="1" x14ac:dyDescent="0.25">
      <c r="A79" s="133">
        <v>11</v>
      </c>
      <c r="B79" s="3" t="s">
        <v>267</v>
      </c>
      <c r="C79" s="151">
        <f>Distt.Minor!C584</f>
        <v>2</v>
      </c>
      <c r="D79" s="151">
        <f>Distt.Minor!D584</f>
        <v>59</v>
      </c>
      <c r="E79" s="151">
        <f>Distt.Minor!E584</f>
        <v>45650</v>
      </c>
      <c r="F79" s="151">
        <f>Distt.Minor!F584</f>
        <v>20086014.94299636</v>
      </c>
      <c r="G79" s="151">
        <f>Distt.Minor!G584</f>
        <v>1611628</v>
      </c>
      <c r="H79" s="151">
        <f>Distt.Minor!H584</f>
        <v>15</v>
      </c>
    </row>
    <row r="80" spans="1:15" ht="17.100000000000001" customHeight="1" x14ac:dyDescent="0.25">
      <c r="A80" s="1300" t="s">
        <v>50</v>
      </c>
      <c r="B80" s="1301"/>
      <c r="C80" s="4">
        <f t="shared" ref="C80:H80" si="10">SUM(C69:C79)</f>
        <v>476</v>
      </c>
      <c r="D80" s="5">
        <f t="shared" si="10"/>
        <v>4677.0889999999999</v>
      </c>
      <c r="E80" s="5">
        <f t="shared" si="10"/>
        <v>5933197.9900000002</v>
      </c>
      <c r="F80" s="17">
        <f t="shared" si="10"/>
        <v>2603616938.5429964</v>
      </c>
      <c r="G80" s="7">
        <f t="shared" si="10"/>
        <v>346368558</v>
      </c>
      <c r="H80" s="7">
        <f t="shared" si="10"/>
        <v>2864</v>
      </c>
      <c r="J80" s="650">
        <f>'Minor Minerals'!C90</f>
        <v>476</v>
      </c>
      <c r="K80" s="650">
        <f>'Minor Minerals'!D90</f>
        <v>4677.0889999999999</v>
      </c>
      <c r="L80" s="650">
        <f>'Minor Minerals'!E90</f>
        <v>5933197.9900000002</v>
      </c>
      <c r="M80" s="650">
        <f>'Minor Minerals'!F90</f>
        <v>2603616938.5429964</v>
      </c>
      <c r="N80" s="650">
        <f>'Minor Minerals'!G90</f>
        <v>346368558</v>
      </c>
      <c r="O80" s="650">
        <f>'Minor Minerals'!H90</f>
        <v>2864</v>
      </c>
    </row>
    <row r="81" spans="1:15" ht="17.100000000000001" customHeight="1" x14ac:dyDescent="0.25">
      <c r="A81" s="160"/>
      <c r="B81" s="160"/>
      <c r="C81" s="161"/>
      <c r="D81" s="162"/>
      <c r="E81" s="162"/>
      <c r="F81" s="163"/>
      <c r="G81" s="164"/>
      <c r="H81" s="164"/>
      <c r="J81" s="123">
        <f>J80-C80</f>
        <v>0</v>
      </c>
      <c r="K81" s="123">
        <f t="shared" ref="K81:O81" si="11">K80-D80</f>
        <v>0</v>
      </c>
      <c r="L81" s="123">
        <f t="shared" si="11"/>
        <v>0</v>
      </c>
      <c r="M81" s="123">
        <f t="shared" si="11"/>
        <v>0</v>
      </c>
      <c r="N81" s="123">
        <f t="shared" si="11"/>
        <v>0</v>
      </c>
      <c r="O81" s="123">
        <f t="shared" si="11"/>
        <v>0</v>
      </c>
    </row>
    <row r="82" spans="1:15" ht="17.100000000000001" customHeight="1" x14ac:dyDescent="0.25">
      <c r="A82" s="136"/>
      <c r="B82" s="1155" t="s">
        <v>55</v>
      </c>
      <c r="C82" s="1155"/>
      <c r="D82" s="1155"/>
      <c r="E82" s="1155"/>
      <c r="F82" s="1155"/>
      <c r="G82" s="1155"/>
      <c r="H82" s="1155"/>
    </row>
    <row r="83" spans="1:15" ht="17.100000000000001" customHeight="1" x14ac:dyDescent="0.25">
      <c r="A83" s="1122" t="s">
        <v>2</v>
      </c>
      <c r="B83" s="1124" t="s">
        <v>270</v>
      </c>
      <c r="C83" s="249" t="s">
        <v>4</v>
      </c>
      <c r="D83" s="249" t="s">
        <v>5</v>
      </c>
      <c r="E83" s="249" t="s">
        <v>6</v>
      </c>
      <c r="F83" s="249" t="s">
        <v>7</v>
      </c>
      <c r="G83" s="249" t="s">
        <v>8</v>
      </c>
      <c r="H83" s="249" t="s">
        <v>9</v>
      </c>
    </row>
    <row r="84" spans="1:15" ht="17.100000000000001" customHeight="1" x14ac:dyDescent="0.25">
      <c r="A84" s="1123"/>
      <c r="B84" s="1125"/>
      <c r="C84" s="2" t="s">
        <v>10</v>
      </c>
      <c r="D84" s="2" t="s">
        <v>52</v>
      </c>
      <c r="E84" s="2" t="s">
        <v>79</v>
      </c>
      <c r="F84" s="52" t="s">
        <v>80</v>
      </c>
      <c r="G84" s="52" t="s">
        <v>80</v>
      </c>
      <c r="H84" s="2" t="s">
        <v>13</v>
      </c>
    </row>
    <row r="85" spans="1:15" ht="17.100000000000001" customHeight="1" x14ac:dyDescent="0.25">
      <c r="A85" s="133">
        <v>1</v>
      </c>
      <c r="B85" s="188" t="s">
        <v>271</v>
      </c>
      <c r="C85" s="141">
        <f>Distt.Minor!C33</f>
        <v>0</v>
      </c>
      <c r="D85" s="141">
        <f>Distt.Minor!D33</f>
        <v>0</v>
      </c>
      <c r="E85" s="141">
        <f>Distt.Minor!E33</f>
        <v>0</v>
      </c>
      <c r="F85" s="141">
        <f>Distt.Minor!F33</f>
        <v>0</v>
      </c>
      <c r="G85" s="141">
        <f>Distt.Minor!G33</f>
        <v>0</v>
      </c>
      <c r="H85" s="141">
        <f>Distt.Minor!H33</f>
        <v>0</v>
      </c>
    </row>
    <row r="86" spans="1:15" ht="17.100000000000001" customHeight="1" x14ac:dyDescent="0.25">
      <c r="A86" s="133">
        <v>2</v>
      </c>
      <c r="B86" s="188" t="s">
        <v>244</v>
      </c>
      <c r="C86" s="198">
        <f>Distt.Minor!C96</f>
        <v>1</v>
      </c>
      <c r="D86" s="198">
        <f>Distt.Minor!D96</f>
        <v>0.71</v>
      </c>
      <c r="E86" s="198">
        <f>Distt.Minor!E96</f>
        <v>196</v>
      </c>
      <c r="F86" s="198">
        <f>Distt.Minor!F96</f>
        <v>24154</v>
      </c>
      <c r="G86" s="198">
        <f>Distt.Minor!G96</f>
        <v>21566</v>
      </c>
      <c r="H86" s="198">
        <f>Distt.Minor!H96</f>
        <v>5</v>
      </c>
    </row>
    <row r="87" spans="1:15" ht="17.100000000000001" customHeight="1" x14ac:dyDescent="0.25">
      <c r="A87" s="1300" t="s">
        <v>50</v>
      </c>
      <c r="B87" s="1301"/>
      <c r="C87" s="35">
        <f t="shared" ref="C87:H87" si="12">SUM(C85:C86)</f>
        <v>1</v>
      </c>
      <c r="D87" s="34">
        <f t="shared" si="12"/>
        <v>0.71</v>
      </c>
      <c r="E87" s="33">
        <f t="shared" si="12"/>
        <v>196</v>
      </c>
      <c r="F87" s="33">
        <f t="shared" si="12"/>
        <v>24154</v>
      </c>
      <c r="G87" s="33">
        <f t="shared" si="12"/>
        <v>21566</v>
      </c>
      <c r="H87" s="33">
        <f t="shared" si="12"/>
        <v>5</v>
      </c>
      <c r="J87" s="240">
        <f>'Minor Minerals'!C97</f>
        <v>1</v>
      </c>
      <c r="K87" s="240">
        <f>'Minor Minerals'!D97</f>
        <v>0.71</v>
      </c>
      <c r="L87" s="240">
        <f>'Minor Minerals'!E97</f>
        <v>196</v>
      </c>
      <c r="M87" s="240">
        <f>'Minor Minerals'!F97</f>
        <v>24154</v>
      </c>
      <c r="N87" s="240">
        <f>'Minor Minerals'!G97</f>
        <v>21566</v>
      </c>
      <c r="O87" s="240">
        <f>'Minor Minerals'!H97</f>
        <v>5</v>
      </c>
    </row>
    <row r="88" spans="1:15" ht="17.100000000000001" customHeight="1" x14ac:dyDescent="0.25">
      <c r="A88" s="136"/>
      <c r="B88" s="136"/>
      <c r="C88" s="136"/>
      <c r="D88" s="136"/>
      <c r="E88" s="136"/>
      <c r="F88" s="136"/>
      <c r="G88" s="136"/>
      <c r="H88" s="136"/>
      <c r="J88" s="128">
        <f>J87-C87</f>
        <v>0</v>
      </c>
      <c r="K88" s="128">
        <f t="shared" ref="K88:O88" si="13">K87-D87</f>
        <v>0</v>
      </c>
      <c r="L88" s="128">
        <f t="shared" si="13"/>
        <v>0</v>
      </c>
      <c r="M88" s="128">
        <f t="shared" si="13"/>
        <v>0</v>
      </c>
      <c r="N88" s="128">
        <f t="shared" si="13"/>
        <v>0</v>
      </c>
      <c r="O88" s="128">
        <f t="shared" si="13"/>
        <v>0</v>
      </c>
    </row>
    <row r="89" spans="1:15" ht="17.100000000000001" customHeight="1" x14ac:dyDescent="0.25">
      <c r="A89" s="1155" t="s">
        <v>56</v>
      </c>
      <c r="B89" s="1155"/>
      <c r="C89" s="1155"/>
      <c r="D89" s="1155"/>
      <c r="E89" s="1155"/>
      <c r="F89" s="1155"/>
      <c r="G89" s="1155"/>
      <c r="H89" s="1155"/>
    </row>
    <row r="90" spans="1:15" ht="17.100000000000001" customHeight="1" x14ac:dyDescent="0.25">
      <c r="A90" s="1122" t="s">
        <v>2</v>
      </c>
      <c r="B90" s="1124" t="s">
        <v>270</v>
      </c>
      <c r="C90" s="249" t="s">
        <v>4</v>
      </c>
      <c r="D90" s="249" t="s">
        <v>5</v>
      </c>
      <c r="E90" s="249" t="s">
        <v>6</v>
      </c>
      <c r="F90" s="249" t="s">
        <v>7</v>
      </c>
      <c r="G90" s="249" t="s">
        <v>8</v>
      </c>
      <c r="H90" s="249" t="s">
        <v>9</v>
      </c>
    </row>
    <row r="91" spans="1:15" ht="17.100000000000001" customHeight="1" x14ac:dyDescent="0.25">
      <c r="A91" s="1123"/>
      <c r="B91" s="1125"/>
      <c r="C91" s="2" t="s">
        <v>10</v>
      </c>
      <c r="D91" s="2" t="s">
        <v>52</v>
      </c>
      <c r="E91" s="2" t="s">
        <v>79</v>
      </c>
      <c r="F91" s="52" t="s">
        <v>80</v>
      </c>
      <c r="G91" s="52" t="s">
        <v>80</v>
      </c>
      <c r="H91" s="2" t="s">
        <v>13</v>
      </c>
    </row>
    <row r="92" spans="1:15" ht="17.100000000000001" customHeight="1" x14ac:dyDescent="0.25">
      <c r="A92" s="133">
        <v>1</v>
      </c>
      <c r="B92" s="188" t="s">
        <v>419</v>
      </c>
      <c r="C92" s="117">
        <f>Distt.Minor!C173</f>
        <v>1</v>
      </c>
      <c r="D92" s="117">
        <f>Distt.Minor!D173</f>
        <v>0.42</v>
      </c>
      <c r="E92" s="117">
        <f>Distt.Minor!E173</f>
        <v>3457</v>
      </c>
      <c r="F92" s="117">
        <f>Distt.Minor!F173</f>
        <v>3457440</v>
      </c>
      <c r="G92" s="117">
        <f>Distt.Minor!G173</f>
        <v>30870</v>
      </c>
      <c r="H92" s="117">
        <f>Distt.Minor!H173</f>
        <v>0</v>
      </c>
    </row>
    <row r="93" spans="1:15" ht="17.100000000000001" customHeight="1" x14ac:dyDescent="0.25">
      <c r="A93" s="133">
        <v>2</v>
      </c>
      <c r="B93" s="188" t="s">
        <v>262</v>
      </c>
      <c r="C93" s="141">
        <f>Distt.Minor!C465</f>
        <v>31</v>
      </c>
      <c r="D93" s="141">
        <f>Distt.Minor!D465</f>
        <v>34.71</v>
      </c>
      <c r="E93" s="141">
        <f>Distt.Minor!E465</f>
        <v>61074</v>
      </c>
      <c r="F93" s="141">
        <f>Distt.Minor!F465</f>
        <v>64127700</v>
      </c>
      <c r="G93" s="141">
        <f>Distt.Minor!G465</f>
        <v>11407000</v>
      </c>
      <c r="H93" s="141">
        <f>Distt.Minor!H465</f>
        <v>180</v>
      </c>
    </row>
    <row r="94" spans="1:15" ht="17.100000000000001" customHeight="1" x14ac:dyDescent="0.25">
      <c r="A94" s="1300" t="s">
        <v>50</v>
      </c>
      <c r="B94" s="1301"/>
      <c r="C94" s="35">
        <f t="shared" ref="C94:H94" si="14">SUM(C92:C93)</f>
        <v>32</v>
      </c>
      <c r="D94" s="34">
        <f t="shared" si="14"/>
        <v>35.130000000000003</v>
      </c>
      <c r="E94" s="33">
        <f t="shared" si="14"/>
        <v>64531</v>
      </c>
      <c r="F94" s="35">
        <f t="shared" si="14"/>
        <v>67585140</v>
      </c>
      <c r="G94" s="33">
        <f t="shared" si="14"/>
        <v>11437870</v>
      </c>
      <c r="H94" s="33">
        <f t="shared" si="14"/>
        <v>180</v>
      </c>
      <c r="J94" s="240">
        <f>'Minor Minerals'!C104</f>
        <v>32</v>
      </c>
      <c r="K94" s="240">
        <f>'Minor Minerals'!D104</f>
        <v>35.130000000000003</v>
      </c>
      <c r="L94" s="240">
        <f>'Minor Minerals'!E104</f>
        <v>64531</v>
      </c>
      <c r="M94" s="240">
        <f>'Minor Minerals'!F104</f>
        <v>67585140</v>
      </c>
      <c r="N94" s="240">
        <f>'Minor Minerals'!G104</f>
        <v>11437870</v>
      </c>
      <c r="O94" s="240">
        <f>'Minor Minerals'!H104</f>
        <v>180</v>
      </c>
    </row>
    <row r="95" spans="1:15" ht="17.100000000000001" customHeight="1" x14ac:dyDescent="0.25">
      <c r="A95" s="136"/>
      <c r="B95" s="136"/>
      <c r="C95" s="136"/>
      <c r="D95" s="136"/>
      <c r="E95" s="136"/>
      <c r="F95" s="136"/>
      <c r="G95" s="136"/>
      <c r="H95" s="136"/>
      <c r="J95" s="128">
        <f>J94-C94</f>
        <v>0</v>
      </c>
      <c r="K95" s="128">
        <f t="shared" ref="K95:O95" si="15">K94-D94</f>
        <v>0</v>
      </c>
      <c r="L95" s="128">
        <f t="shared" si="15"/>
        <v>0</v>
      </c>
      <c r="M95" s="128">
        <f t="shared" si="15"/>
        <v>0</v>
      </c>
      <c r="N95" s="128">
        <f t="shared" si="15"/>
        <v>0</v>
      </c>
      <c r="O95" s="128">
        <f t="shared" si="15"/>
        <v>0</v>
      </c>
    </row>
    <row r="96" spans="1:15" ht="17.100000000000001" customHeight="1" x14ac:dyDescent="0.3">
      <c r="A96" s="1142" t="s">
        <v>27</v>
      </c>
      <c r="B96" s="1142"/>
      <c r="C96" s="1142"/>
      <c r="D96" s="1142"/>
      <c r="E96" s="1142"/>
      <c r="F96" s="1142"/>
      <c r="G96" s="1142"/>
      <c r="H96" s="1142"/>
    </row>
    <row r="97" spans="1:15" ht="17.100000000000001" customHeight="1" x14ac:dyDescent="0.25">
      <c r="A97" s="1122" t="s">
        <v>2</v>
      </c>
      <c r="B97" s="1124" t="s">
        <v>270</v>
      </c>
      <c r="C97" s="249" t="s">
        <v>4</v>
      </c>
      <c r="D97" s="249" t="s">
        <v>5</v>
      </c>
      <c r="E97" s="249" t="s">
        <v>6</v>
      </c>
      <c r="F97" s="249" t="s">
        <v>7</v>
      </c>
      <c r="G97" s="249" t="s">
        <v>8</v>
      </c>
      <c r="H97" s="249" t="s">
        <v>9</v>
      </c>
    </row>
    <row r="98" spans="1:15" ht="17.100000000000001" customHeight="1" x14ac:dyDescent="0.25">
      <c r="A98" s="1123"/>
      <c r="B98" s="1125"/>
      <c r="C98" s="2" t="s">
        <v>10</v>
      </c>
      <c r="D98" s="2" t="s">
        <v>78</v>
      </c>
      <c r="E98" s="2" t="s">
        <v>79</v>
      </c>
      <c r="F98" s="52" t="s">
        <v>80</v>
      </c>
      <c r="G98" s="52" t="s">
        <v>80</v>
      </c>
      <c r="H98" s="2" t="s">
        <v>13</v>
      </c>
    </row>
    <row r="99" spans="1:15" ht="17.100000000000001" customHeight="1" x14ac:dyDescent="0.25">
      <c r="A99" s="133">
        <v>1</v>
      </c>
      <c r="B99" s="192" t="s">
        <v>242</v>
      </c>
      <c r="C99" s="133">
        <f>Distt.Minor!C52</f>
        <v>1</v>
      </c>
      <c r="D99" s="133">
        <f>Distt.Minor!D52</f>
        <v>71.319999999999993</v>
      </c>
      <c r="E99" s="133">
        <f>Distt.Minor!E52</f>
        <v>18004</v>
      </c>
      <c r="F99" s="133">
        <f>Distt.Minor!F52</f>
        <v>32407812</v>
      </c>
      <c r="G99" s="133">
        <f>Distt.Minor!G52</f>
        <v>4054822</v>
      </c>
      <c r="H99" s="133">
        <f>Distt.Minor!H52</f>
        <v>20</v>
      </c>
    </row>
    <row r="100" spans="1:15" ht="17.100000000000001" customHeight="1" x14ac:dyDescent="0.25">
      <c r="A100" s="133">
        <v>2</v>
      </c>
      <c r="B100" s="192" t="s">
        <v>250</v>
      </c>
      <c r="C100" s="133">
        <f>Distt.Minor!C239</f>
        <v>0</v>
      </c>
      <c r="D100" s="133">
        <f>Distt.Minor!D239</f>
        <v>0</v>
      </c>
      <c r="E100" s="133">
        <f>Distt.Minor!E239</f>
        <v>0</v>
      </c>
      <c r="F100" s="133">
        <f>Distt.Minor!F239</f>
        <v>0</v>
      </c>
      <c r="G100" s="133">
        <f>Distt.Minor!G239</f>
        <v>0</v>
      </c>
      <c r="H100" s="133">
        <f>Distt.Minor!H239</f>
        <v>0</v>
      </c>
    </row>
    <row r="101" spans="1:15" ht="17.100000000000001" customHeight="1" x14ac:dyDescent="0.25">
      <c r="A101" s="133">
        <v>3</v>
      </c>
      <c r="B101" s="192" t="s">
        <v>252</v>
      </c>
      <c r="C101" s="133">
        <f>Distt.Minor!C299</f>
        <v>3</v>
      </c>
      <c r="D101" s="133">
        <f>Distt.Minor!D299</f>
        <v>126.37</v>
      </c>
      <c r="E101" s="133">
        <f>Distt.Minor!E299</f>
        <v>40449</v>
      </c>
      <c r="F101" s="133">
        <f>Distt.Minor!F299</f>
        <v>68619444</v>
      </c>
      <c r="G101" s="133">
        <f>Distt.Minor!G299</f>
        <v>5904027</v>
      </c>
      <c r="H101" s="133">
        <f>Distt.Minor!H299</f>
        <v>150</v>
      </c>
    </row>
    <row r="102" spans="1:15" ht="17.100000000000001" customHeight="1" x14ac:dyDescent="0.25">
      <c r="A102" s="133">
        <v>4</v>
      </c>
      <c r="B102" s="621" t="s">
        <v>254</v>
      </c>
      <c r="C102" s="142">
        <f>Distt.Minor!C265</f>
        <v>1</v>
      </c>
      <c r="D102" s="142">
        <f>Distt.Minor!D265</f>
        <v>32.369999999999997</v>
      </c>
      <c r="E102" s="142">
        <f>Distt.Minor!E265</f>
        <v>16337.37</v>
      </c>
      <c r="F102" s="142">
        <f>Distt.Minor!F265</f>
        <v>31041003</v>
      </c>
      <c r="G102" s="142">
        <f>Distt.Minor!G265</f>
        <v>2813632</v>
      </c>
      <c r="H102" s="142">
        <f>Distt.Minor!H265</f>
        <v>4</v>
      </c>
    </row>
    <row r="103" spans="1:15" ht="17.100000000000001" customHeight="1" x14ac:dyDescent="0.25">
      <c r="A103" s="133">
        <v>5</v>
      </c>
      <c r="B103" s="192" t="s">
        <v>425</v>
      </c>
      <c r="C103" s="192">
        <f>Distt.Minor!C450</f>
        <v>0</v>
      </c>
      <c r="D103" s="192">
        <f>Distt.Minor!D450</f>
        <v>0</v>
      </c>
      <c r="E103" s="192">
        <f>Distt.Minor!E450</f>
        <v>11.06</v>
      </c>
      <c r="F103" s="192">
        <f>Distt.Minor!F450</f>
        <v>19908</v>
      </c>
      <c r="G103" s="133">
        <f>Distt.Minor!G450</f>
        <v>2798.1800000000003</v>
      </c>
      <c r="H103" s="192">
        <f>Distt.Minor!H450</f>
        <v>0</v>
      </c>
    </row>
    <row r="104" spans="1:15" ht="17.100000000000001" customHeight="1" x14ac:dyDescent="0.25">
      <c r="A104" s="133">
        <v>6</v>
      </c>
      <c r="B104" s="192" t="s">
        <v>275</v>
      </c>
      <c r="C104" s="196">
        <f>Distt.Minor!C472</f>
        <v>20</v>
      </c>
      <c r="D104" s="196">
        <f>Distt.Minor!D472</f>
        <v>833.34</v>
      </c>
      <c r="E104" s="196">
        <f>Distt.Minor!E472</f>
        <v>1712527</v>
      </c>
      <c r="F104" s="196">
        <f>Distt.Minor!F472</f>
        <v>2654416850</v>
      </c>
      <c r="G104" s="196">
        <f>Distt.Minor!G472</f>
        <v>72507000</v>
      </c>
      <c r="H104" s="196">
        <f>Distt.Minor!H472</f>
        <v>390</v>
      </c>
    </row>
    <row r="105" spans="1:15" ht="17.100000000000001" customHeight="1" x14ac:dyDescent="0.25">
      <c r="A105" s="133">
        <v>7</v>
      </c>
      <c r="B105" s="192" t="s">
        <v>264</v>
      </c>
      <c r="C105" s="119">
        <f>Distt.Minor!C520</f>
        <v>1</v>
      </c>
      <c r="D105" s="119">
        <f>Distt.Minor!D520</f>
        <v>1</v>
      </c>
      <c r="E105" s="119">
        <f>Distt.Minor!E520</f>
        <v>303.5</v>
      </c>
      <c r="F105" s="119">
        <f>Distt.Minor!F520</f>
        <v>515900</v>
      </c>
      <c r="G105" s="119">
        <f>Distt.Minor!G520</f>
        <v>12481053</v>
      </c>
      <c r="H105" s="119">
        <f>Distt.Minor!H520</f>
        <v>50</v>
      </c>
    </row>
    <row r="106" spans="1:15" ht="17.100000000000001" customHeight="1" x14ac:dyDescent="0.25">
      <c r="A106" s="133">
        <v>8</v>
      </c>
      <c r="B106" s="192" t="s">
        <v>267</v>
      </c>
      <c r="C106" s="133">
        <f>Distt.Minor!C581</f>
        <v>31</v>
      </c>
      <c r="D106" s="133">
        <f>Distt.Minor!D581</f>
        <v>584.76</v>
      </c>
      <c r="E106" s="133">
        <f>Distt.Minor!E581</f>
        <v>255145</v>
      </c>
      <c r="F106" s="133">
        <f>Distt.Minor!F581</f>
        <v>447937150</v>
      </c>
      <c r="G106" s="133">
        <f>Distt.Minor!G581</f>
        <v>69788002</v>
      </c>
      <c r="H106" s="133">
        <f>Distt.Minor!H581</f>
        <v>18</v>
      </c>
    </row>
    <row r="107" spans="1:15" ht="17.100000000000001" customHeight="1" x14ac:dyDescent="0.25">
      <c r="A107" s="1300" t="s">
        <v>50</v>
      </c>
      <c r="B107" s="1301"/>
      <c r="C107" s="4">
        <f t="shared" ref="C107:H107" si="16">SUM(C99:C106)</f>
        <v>57</v>
      </c>
      <c r="D107" s="5">
        <f t="shared" si="16"/>
        <v>1649.16</v>
      </c>
      <c r="E107" s="7">
        <f t="shared" si="16"/>
        <v>2042776.93</v>
      </c>
      <c r="F107" s="7">
        <f t="shared" si="16"/>
        <v>3234958067</v>
      </c>
      <c r="G107" s="7">
        <f t="shared" si="16"/>
        <v>167551334.18000001</v>
      </c>
      <c r="H107" s="4">
        <f t="shared" si="16"/>
        <v>632</v>
      </c>
      <c r="J107" s="238">
        <f>'Minor Minerals'!C118</f>
        <v>57</v>
      </c>
      <c r="K107" s="238">
        <f>'Minor Minerals'!D118</f>
        <v>1649.16</v>
      </c>
      <c r="L107" s="238">
        <f>'Minor Minerals'!E118</f>
        <v>2042776.9300000002</v>
      </c>
      <c r="M107" s="238">
        <f>'Minor Minerals'!F118</f>
        <v>3234958067</v>
      </c>
      <c r="N107" s="238">
        <f>'Minor Minerals'!G118</f>
        <v>167551334.18000001</v>
      </c>
      <c r="O107" s="238">
        <f>'Minor Minerals'!H118</f>
        <v>632</v>
      </c>
    </row>
    <row r="108" spans="1:15" ht="17.100000000000001" customHeight="1" x14ac:dyDescent="0.25">
      <c r="A108" s="160"/>
      <c r="B108" s="160"/>
      <c r="C108" s="161"/>
      <c r="D108" s="162"/>
      <c r="E108" s="164"/>
      <c r="F108" s="164"/>
      <c r="G108" s="164"/>
      <c r="H108" s="161"/>
      <c r="J108" s="128">
        <f>J107-C107</f>
        <v>0</v>
      </c>
      <c r="K108" s="128">
        <f t="shared" ref="K108:O108" si="17">K107-D107</f>
        <v>0</v>
      </c>
      <c r="L108" s="128">
        <f t="shared" si="17"/>
        <v>0</v>
      </c>
      <c r="M108" s="128">
        <f t="shared" si="17"/>
        <v>0</v>
      </c>
      <c r="N108" s="128">
        <f t="shared" si="17"/>
        <v>0</v>
      </c>
      <c r="O108" s="128">
        <f t="shared" si="17"/>
        <v>0</v>
      </c>
    </row>
    <row r="109" spans="1:15" ht="17.100000000000001" customHeight="1" x14ac:dyDescent="0.3">
      <c r="A109" s="136"/>
      <c r="B109" s="1142" t="s">
        <v>41</v>
      </c>
      <c r="C109" s="1142"/>
      <c r="D109" s="1142"/>
      <c r="E109" s="1142"/>
      <c r="F109" s="1142"/>
      <c r="G109" s="1142"/>
      <c r="H109" s="1142"/>
    </row>
    <row r="110" spans="1:15" ht="17.100000000000001" customHeight="1" x14ac:dyDescent="0.25">
      <c r="A110" s="1122" t="s">
        <v>2</v>
      </c>
      <c r="B110" s="1124" t="s">
        <v>270</v>
      </c>
      <c r="C110" s="249" t="s">
        <v>4</v>
      </c>
      <c r="D110" s="249" t="s">
        <v>5</v>
      </c>
      <c r="E110" s="249" t="s">
        <v>6</v>
      </c>
      <c r="F110" s="249" t="s">
        <v>7</v>
      </c>
      <c r="G110" s="249" t="s">
        <v>8</v>
      </c>
      <c r="H110" s="249" t="s">
        <v>9</v>
      </c>
    </row>
    <row r="111" spans="1:15" ht="17.100000000000001" customHeight="1" x14ac:dyDescent="0.25">
      <c r="A111" s="1123"/>
      <c r="B111" s="1125"/>
      <c r="C111" s="2" t="s">
        <v>10</v>
      </c>
      <c r="D111" s="2" t="s">
        <v>78</v>
      </c>
      <c r="E111" s="2" t="s">
        <v>79</v>
      </c>
      <c r="F111" s="52" t="s">
        <v>80</v>
      </c>
      <c r="G111" s="52" t="s">
        <v>80</v>
      </c>
      <c r="H111" s="2" t="s">
        <v>13</v>
      </c>
    </row>
    <row r="112" spans="1:15" ht="17.100000000000001" customHeight="1" x14ac:dyDescent="0.25">
      <c r="A112" s="133">
        <v>1</v>
      </c>
      <c r="B112" s="192" t="s">
        <v>240</v>
      </c>
      <c r="C112" s="116">
        <f>Distt.Minor!C16</f>
        <v>464</v>
      </c>
      <c r="D112" s="116">
        <f>Distt.Minor!D16</f>
        <v>2191.1</v>
      </c>
      <c r="E112" s="116">
        <f>Distt.Minor!E16</f>
        <v>4240719</v>
      </c>
      <c r="F112" s="116">
        <f>Distt.Minor!F16</f>
        <v>2064757027</v>
      </c>
      <c r="G112" s="116">
        <f>Distt.Minor!G16</f>
        <v>496385067</v>
      </c>
      <c r="H112" s="116">
        <f>Distt.Minor!H16</f>
        <v>1900</v>
      </c>
    </row>
    <row r="113" spans="1:15" ht="17.100000000000001" customHeight="1" x14ac:dyDescent="0.25">
      <c r="A113" s="133">
        <v>2</v>
      </c>
      <c r="B113" s="192" t="s">
        <v>271</v>
      </c>
      <c r="C113" s="133">
        <f>Distt.Minor!C36</f>
        <v>1</v>
      </c>
      <c r="D113" s="133">
        <f>Distt.Minor!D36</f>
        <v>4</v>
      </c>
      <c r="E113" s="133">
        <f>Distt.Minor!E36</f>
        <v>0</v>
      </c>
      <c r="F113" s="133">
        <f>Distt.Minor!F36</f>
        <v>0</v>
      </c>
      <c r="G113" s="133">
        <f>Distt.Minor!G36</f>
        <v>0</v>
      </c>
      <c r="H113" s="133">
        <f>Distt.Minor!H36</f>
        <v>0</v>
      </c>
    </row>
    <row r="114" spans="1:15" ht="17.100000000000001" customHeight="1" x14ac:dyDescent="0.25">
      <c r="A114" s="133">
        <v>3</v>
      </c>
      <c r="B114" s="192" t="s">
        <v>245</v>
      </c>
      <c r="C114" s="133">
        <f>Distt.Minor!C124</f>
        <v>805</v>
      </c>
      <c r="D114" s="133">
        <f>Distt.Minor!D124</f>
        <v>3945.6561000000002</v>
      </c>
      <c r="E114" s="133">
        <f>Distt.Minor!E124</f>
        <v>1695031</v>
      </c>
      <c r="F114" s="133">
        <f>Distt.Minor!F124</f>
        <v>818339039</v>
      </c>
      <c r="G114" s="133">
        <f>Distt.Minor!G124</f>
        <v>185888478</v>
      </c>
      <c r="H114" s="133">
        <f>Distt.Minor!H124</f>
        <v>4500</v>
      </c>
    </row>
    <row r="115" spans="1:15" ht="17.100000000000001" customHeight="1" x14ac:dyDescent="0.25">
      <c r="A115" s="133">
        <v>4</v>
      </c>
      <c r="B115" s="192" t="s">
        <v>419</v>
      </c>
      <c r="C115" s="133">
        <f>Distt.Minor!C185</f>
        <v>10</v>
      </c>
      <c r="D115" s="133">
        <f>Distt.Minor!D185</f>
        <v>29.3</v>
      </c>
      <c r="E115" s="133">
        <f>Distt.Minor!E185</f>
        <v>128263</v>
      </c>
      <c r="F115" s="133">
        <f>Distt.Minor!F185</f>
        <v>57718350</v>
      </c>
      <c r="G115" s="133">
        <f>Distt.Minor!G185</f>
        <v>0</v>
      </c>
      <c r="H115" s="133">
        <f>Distt.Minor!H185</f>
        <v>0</v>
      </c>
    </row>
    <row r="116" spans="1:15" ht="17.100000000000001" customHeight="1" x14ac:dyDescent="0.25">
      <c r="A116" s="133">
        <v>5</v>
      </c>
      <c r="B116" s="192" t="s">
        <v>252</v>
      </c>
      <c r="C116" s="133">
        <f>Distt.Minor!C292</f>
        <v>88</v>
      </c>
      <c r="D116" s="133">
        <f>Distt.Minor!D292</f>
        <v>776.74</v>
      </c>
      <c r="E116" s="133">
        <f>Distt.Minor!E292</f>
        <v>3867196</v>
      </c>
      <c r="F116" s="133">
        <f>Distt.Minor!F292</f>
        <v>2968972367</v>
      </c>
      <c r="G116" s="133">
        <f>Distt.Minor!G292</f>
        <v>328028402</v>
      </c>
      <c r="H116" s="133">
        <f>Distt.Minor!H292</f>
        <v>1270</v>
      </c>
    </row>
    <row r="117" spans="1:15" ht="17.100000000000001" customHeight="1" x14ac:dyDescent="0.25">
      <c r="A117" s="133">
        <v>6</v>
      </c>
      <c r="B117" s="192" t="s">
        <v>256</v>
      </c>
      <c r="C117" s="133">
        <f>Distt.Minor!C347</f>
        <v>20</v>
      </c>
      <c r="D117" s="133">
        <f>Distt.Minor!D347</f>
        <v>90.198700000000002</v>
      </c>
      <c r="E117" s="133">
        <f>Distt.Minor!E347</f>
        <v>128493</v>
      </c>
      <c r="F117" s="133">
        <f>Distt.Minor!F347</f>
        <v>77095800</v>
      </c>
      <c r="G117" s="133">
        <f>Distt.Minor!G347</f>
        <v>4554000</v>
      </c>
      <c r="H117" s="133">
        <f>Distt.Minor!H347</f>
        <v>38</v>
      </c>
    </row>
    <row r="118" spans="1:15" ht="17.100000000000001" customHeight="1" x14ac:dyDescent="0.25">
      <c r="A118" s="133">
        <v>7</v>
      </c>
      <c r="B118" s="192" t="s">
        <v>278</v>
      </c>
      <c r="C118" s="205">
        <f>Distt.Minor!C560</f>
        <v>56</v>
      </c>
      <c r="D118" s="205">
        <f>Distt.Minor!D560</f>
        <v>262.63</v>
      </c>
      <c r="E118" s="205">
        <f>Distt.Minor!E560</f>
        <v>39748</v>
      </c>
      <c r="F118" s="205">
        <f>Distt.Minor!F560</f>
        <v>19158536</v>
      </c>
      <c r="G118" s="205">
        <f>Distt.Minor!G560</f>
        <v>4292784</v>
      </c>
      <c r="H118" s="205">
        <f>Distt.Minor!H560</f>
        <v>50</v>
      </c>
    </row>
    <row r="119" spans="1:15" ht="17.100000000000001" customHeight="1" x14ac:dyDescent="0.25">
      <c r="A119" s="133">
        <v>8</v>
      </c>
      <c r="B119" s="192" t="s">
        <v>260</v>
      </c>
      <c r="C119" s="205">
        <f>Distt.Minor!C434</f>
        <v>0</v>
      </c>
      <c r="D119" s="205">
        <f>Distt.Minor!D434</f>
        <v>0</v>
      </c>
      <c r="E119" s="205">
        <f>Distt.Minor!E434</f>
        <v>0</v>
      </c>
      <c r="F119" s="205">
        <f>Distt.Minor!F434</f>
        <v>0</v>
      </c>
      <c r="G119" s="205">
        <f>Distt.Minor!G434</f>
        <v>0</v>
      </c>
      <c r="H119" s="205">
        <f>Distt.Minor!H434</f>
        <v>0</v>
      </c>
    </row>
    <row r="120" spans="1:15" ht="17.100000000000001" customHeight="1" x14ac:dyDescent="0.25">
      <c r="A120" s="133">
        <v>9</v>
      </c>
      <c r="B120" s="192" t="s">
        <v>476</v>
      </c>
      <c r="C120" s="205">
        <f>Distt.Minor!C474</f>
        <v>380</v>
      </c>
      <c r="D120" s="205">
        <f>Distt.Minor!D474</f>
        <v>1829.4269999999999</v>
      </c>
      <c r="E120" s="205">
        <f>Distt.Minor!E474</f>
        <v>705055</v>
      </c>
      <c r="F120" s="205">
        <f>Distt.Minor!F474</f>
        <v>341951675</v>
      </c>
      <c r="G120" s="205">
        <f>Distt.Minor!G474</f>
        <v>103765098</v>
      </c>
      <c r="H120" s="205">
        <f>Distt.Minor!H474</f>
        <v>458</v>
      </c>
    </row>
    <row r="121" spans="1:15" ht="17.100000000000001" customHeight="1" x14ac:dyDescent="0.25">
      <c r="A121" s="133">
        <v>10</v>
      </c>
      <c r="B121" s="192" t="s">
        <v>264</v>
      </c>
      <c r="C121" s="119">
        <f>Distt.Minor!C524</f>
        <v>76</v>
      </c>
      <c r="D121" s="256">
        <f>Distt.Minor!D524</f>
        <v>482.53</v>
      </c>
      <c r="E121" s="119">
        <f>Distt.Minor!E524</f>
        <v>1969945</v>
      </c>
      <c r="F121" s="119">
        <f>Distt.Minor!F524</f>
        <v>947606629.00000012</v>
      </c>
      <c r="G121" s="119">
        <f>Distt.Minor!G524</f>
        <v>132490843</v>
      </c>
      <c r="H121" s="119">
        <f>Distt.Minor!H524</f>
        <v>200</v>
      </c>
    </row>
    <row r="122" spans="1:15" ht="17.100000000000001" customHeight="1" x14ac:dyDescent="0.25">
      <c r="A122" s="133">
        <v>11</v>
      </c>
      <c r="B122" s="199" t="s">
        <v>267</v>
      </c>
      <c r="C122" s="200">
        <f>Distt.Minor!C586</f>
        <v>155</v>
      </c>
      <c r="D122" s="200">
        <f>Distt.Minor!D586</f>
        <v>17561.559999999998</v>
      </c>
      <c r="E122" s="200">
        <f>Distt.Minor!E586</f>
        <v>2456119</v>
      </c>
      <c r="F122" s="200">
        <f>Distt.Minor!F586</f>
        <v>1158253710.9007456</v>
      </c>
      <c r="G122" s="200">
        <f>Distt.Minor!G586</f>
        <v>83624483</v>
      </c>
      <c r="H122" s="200">
        <f>Distt.Minor!H586</f>
        <v>271</v>
      </c>
    </row>
    <row r="123" spans="1:15" ht="17.100000000000001" customHeight="1" x14ac:dyDescent="0.25">
      <c r="A123" s="1300" t="s">
        <v>50</v>
      </c>
      <c r="B123" s="1301"/>
      <c r="C123" s="4">
        <f>SUM(C112:C122)</f>
        <v>2055</v>
      </c>
      <c r="D123" s="5">
        <f t="shared" ref="D123:H123" si="18">SUM(D112:D122)</f>
        <v>27173.141799999998</v>
      </c>
      <c r="E123" s="5">
        <f t="shared" si="18"/>
        <v>15230569</v>
      </c>
      <c r="F123" s="7">
        <f t="shared" si="18"/>
        <v>8453853133.9007454</v>
      </c>
      <c r="G123" s="7">
        <f t="shared" si="18"/>
        <v>1339029155</v>
      </c>
      <c r="H123" s="4">
        <f t="shared" si="18"/>
        <v>8687</v>
      </c>
      <c r="J123" s="651">
        <f>'Minor Minerals'!C139</f>
        <v>2055</v>
      </c>
      <c r="K123" s="651">
        <f>'Minor Minerals'!D139</f>
        <v>27173.141799999998</v>
      </c>
      <c r="L123" s="651">
        <f>'Minor Minerals'!E139</f>
        <v>15230569</v>
      </c>
      <c r="M123" s="662">
        <f>'Minor Minerals'!F139</f>
        <v>8453853133.9007454</v>
      </c>
      <c r="N123" s="651">
        <f>'Minor Minerals'!G139</f>
        <v>1339029155</v>
      </c>
      <c r="O123" s="651">
        <f>'Minor Minerals'!H139</f>
        <v>8687</v>
      </c>
    </row>
    <row r="124" spans="1:15" ht="17.100000000000001" customHeight="1" x14ac:dyDescent="0.25">
      <c r="A124" s="160"/>
      <c r="B124" s="160"/>
      <c r="C124" s="161"/>
      <c r="D124" s="162"/>
      <c r="E124" s="164"/>
      <c r="F124" s="164"/>
      <c r="G124" s="164"/>
      <c r="H124" s="161"/>
      <c r="J124" s="123">
        <f>J123-C123</f>
        <v>0</v>
      </c>
      <c r="K124" s="129">
        <f>K123-D123</f>
        <v>0</v>
      </c>
      <c r="L124" s="129">
        <f>L123-E123</f>
        <v>0</v>
      </c>
      <c r="M124" s="128">
        <f>M123-F123</f>
        <v>0</v>
      </c>
      <c r="N124" s="128">
        <f t="shared" ref="N124" si="19">N123-G123</f>
        <v>0</v>
      </c>
      <c r="O124" s="123">
        <f>O123-H123</f>
        <v>0</v>
      </c>
    </row>
    <row r="125" spans="1:15" ht="17.100000000000001" customHeight="1" x14ac:dyDescent="0.3">
      <c r="A125" s="1142" t="s">
        <v>28</v>
      </c>
      <c r="B125" s="1142"/>
      <c r="C125" s="1142"/>
      <c r="D125" s="1142"/>
      <c r="E125" s="1142"/>
      <c r="F125" s="1142"/>
      <c r="G125" s="1142"/>
      <c r="H125" s="1142"/>
    </row>
    <row r="126" spans="1:15" ht="17.100000000000001" customHeight="1" x14ac:dyDescent="0.25">
      <c r="A126" s="1122" t="s">
        <v>2</v>
      </c>
      <c r="B126" s="1124" t="s">
        <v>270</v>
      </c>
      <c r="C126" s="249" t="s">
        <v>4</v>
      </c>
      <c r="D126" s="249" t="s">
        <v>5</v>
      </c>
      <c r="E126" s="249" t="s">
        <v>6</v>
      </c>
      <c r="F126" s="249" t="s">
        <v>7</v>
      </c>
      <c r="G126" s="249" t="s">
        <v>8</v>
      </c>
      <c r="H126" s="249" t="s">
        <v>9</v>
      </c>
    </row>
    <row r="127" spans="1:15" ht="17.100000000000001" customHeight="1" x14ac:dyDescent="0.25">
      <c r="A127" s="1123"/>
      <c r="B127" s="1125"/>
      <c r="C127" s="2" t="s">
        <v>10</v>
      </c>
      <c r="D127" s="2" t="s">
        <v>78</v>
      </c>
      <c r="E127" s="2" t="s">
        <v>79</v>
      </c>
      <c r="F127" s="52" t="s">
        <v>80</v>
      </c>
      <c r="G127" s="52" t="s">
        <v>80</v>
      </c>
      <c r="H127" s="2" t="s">
        <v>13</v>
      </c>
    </row>
    <row r="128" spans="1:15" ht="17.100000000000001" customHeight="1" x14ac:dyDescent="0.25">
      <c r="A128" s="133">
        <v>1</v>
      </c>
      <c r="B128" s="3" t="s">
        <v>244</v>
      </c>
      <c r="C128" s="198">
        <f>Distt.Minor!C102</f>
        <v>1</v>
      </c>
      <c r="D128" s="198">
        <f>Distt.Minor!D102</f>
        <v>5</v>
      </c>
      <c r="E128" s="198">
        <f>Distt.Minor!E102</f>
        <v>0</v>
      </c>
      <c r="F128" s="198">
        <f>Distt.Minor!F102</f>
        <v>0</v>
      </c>
      <c r="G128" s="198">
        <f>Distt.Minor!G102</f>
        <v>0</v>
      </c>
      <c r="H128" s="198">
        <f>Distt.Minor!H102</f>
        <v>0</v>
      </c>
    </row>
    <row r="129" spans="1:15" ht="17.100000000000001" customHeight="1" x14ac:dyDescent="0.25">
      <c r="A129" s="133">
        <v>2</v>
      </c>
      <c r="B129" s="13" t="s">
        <v>256</v>
      </c>
      <c r="C129" s="193">
        <f>Distt.Minor!C349</f>
        <v>2</v>
      </c>
      <c r="D129" s="193">
        <f>Distt.Minor!D349</f>
        <v>54.987299999999998</v>
      </c>
      <c r="E129" s="193">
        <f>Distt.Minor!E349</f>
        <v>750</v>
      </c>
      <c r="F129" s="193">
        <f>Distt.Minor!F349</f>
        <v>637500</v>
      </c>
      <c r="G129" s="193">
        <f>Distt.Minor!G349</f>
        <v>60000</v>
      </c>
      <c r="H129" s="193">
        <f>Distt.Minor!H349</f>
        <v>40</v>
      </c>
    </row>
    <row r="130" spans="1:15" ht="17.100000000000001" customHeight="1" x14ac:dyDescent="0.25">
      <c r="A130" s="1300" t="s">
        <v>50</v>
      </c>
      <c r="B130" s="1301"/>
      <c r="C130" s="4">
        <f t="shared" ref="C130:H130" si="20">SUM(C128:C129)</f>
        <v>3</v>
      </c>
      <c r="D130" s="5">
        <f t="shared" si="20"/>
        <v>59.987299999999998</v>
      </c>
      <c r="E130" s="7">
        <f t="shared" si="20"/>
        <v>750</v>
      </c>
      <c r="F130" s="7">
        <f t="shared" si="20"/>
        <v>637500</v>
      </c>
      <c r="G130" s="4">
        <f t="shared" si="20"/>
        <v>60000</v>
      </c>
      <c r="H130" s="4">
        <f t="shared" si="20"/>
        <v>40</v>
      </c>
      <c r="J130" s="650">
        <f>'Minor Minerals'!C146</f>
        <v>3</v>
      </c>
      <c r="K130" s="650">
        <f>'Minor Minerals'!D146</f>
        <v>59.987299999999998</v>
      </c>
      <c r="L130" s="650">
        <f>'Minor Minerals'!E146</f>
        <v>750</v>
      </c>
      <c r="M130" s="841">
        <f>'Minor Minerals'!F146</f>
        <v>637500</v>
      </c>
      <c r="N130" s="650">
        <f>'Minor Minerals'!G146</f>
        <v>60000</v>
      </c>
      <c r="O130" s="650">
        <f>'Minor Minerals'!H146</f>
        <v>40</v>
      </c>
    </row>
    <row r="131" spans="1:15" ht="17.100000000000001" customHeight="1" x14ac:dyDescent="0.25">
      <c r="A131" s="160"/>
      <c r="B131" s="160"/>
      <c r="C131" s="161"/>
      <c r="D131" s="162"/>
      <c r="E131" s="164"/>
      <c r="F131" s="164"/>
      <c r="G131" s="164"/>
      <c r="H131" s="161"/>
      <c r="J131" s="123">
        <f>J130-C130</f>
        <v>0</v>
      </c>
      <c r="K131" s="123">
        <f t="shared" ref="K131:O131" si="21">K130-D130</f>
        <v>0</v>
      </c>
      <c r="L131" s="123">
        <f t="shared" si="21"/>
        <v>0</v>
      </c>
      <c r="M131" s="123">
        <f t="shared" si="21"/>
        <v>0</v>
      </c>
      <c r="N131" s="123">
        <f t="shared" si="21"/>
        <v>0</v>
      </c>
      <c r="O131" s="123">
        <f t="shared" si="21"/>
        <v>0</v>
      </c>
    </row>
    <row r="132" spans="1:15" ht="17.100000000000001" customHeight="1" x14ac:dyDescent="0.25">
      <c r="A132" s="1155" t="s">
        <v>137</v>
      </c>
      <c r="B132" s="1155"/>
      <c r="C132" s="1155"/>
      <c r="D132" s="1155"/>
      <c r="E132" s="1155"/>
      <c r="F132" s="1155"/>
      <c r="G132" s="1155"/>
      <c r="H132" s="1155"/>
    </row>
    <row r="133" spans="1:15" ht="17.100000000000001" customHeight="1" x14ac:dyDescent="0.25">
      <c r="A133" s="1122" t="s">
        <v>2</v>
      </c>
      <c r="B133" s="1124" t="s">
        <v>270</v>
      </c>
      <c r="C133" s="249" t="s">
        <v>4</v>
      </c>
      <c r="D133" s="249" t="s">
        <v>5</v>
      </c>
      <c r="E133" s="249" t="s">
        <v>6</v>
      </c>
      <c r="F133" s="249" t="s">
        <v>7</v>
      </c>
      <c r="G133" s="249" t="s">
        <v>8</v>
      </c>
      <c r="H133" s="249" t="s">
        <v>9</v>
      </c>
    </row>
    <row r="134" spans="1:15" ht="17.100000000000001" customHeight="1" x14ac:dyDescent="0.25">
      <c r="A134" s="1123"/>
      <c r="B134" s="1125"/>
      <c r="C134" s="2" t="s">
        <v>10</v>
      </c>
      <c r="D134" s="2" t="s">
        <v>52</v>
      </c>
      <c r="E134" s="2" t="s">
        <v>79</v>
      </c>
      <c r="F134" s="234" t="s">
        <v>80</v>
      </c>
      <c r="G134" s="234" t="s">
        <v>80</v>
      </c>
      <c r="H134" s="2" t="s">
        <v>13</v>
      </c>
    </row>
    <row r="135" spans="1:15" ht="17.100000000000001" customHeight="1" x14ac:dyDescent="0.25">
      <c r="A135" s="133">
        <v>1</v>
      </c>
      <c r="B135" s="188" t="s">
        <v>245</v>
      </c>
      <c r="C135" s="141">
        <f>Distt.Minor!C115</f>
        <v>1</v>
      </c>
      <c r="D135" s="141">
        <f>Distt.Minor!D115</f>
        <v>1</v>
      </c>
      <c r="E135" s="141">
        <f>Distt.Minor!E115</f>
        <v>0</v>
      </c>
      <c r="F135" s="141">
        <f>Distt.Minor!F115</f>
        <v>0</v>
      </c>
      <c r="G135" s="141">
        <f>Distt.Minor!G115</f>
        <v>0</v>
      </c>
      <c r="H135" s="141">
        <f>Distt.Minor!H115</f>
        <v>0</v>
      </c>
    </row>
    <row r="136" spans="1:15" ht="17.100000000000001" customHeight="1" x14ac:dyDescent="0.25">
      <c r="A136" s="133">
        <v>2</v>
      </c>
      <c r="B136" s="188" t="s">
        <v>243</v>
      </c>
      <c r="C136" s="141">
        <f>Distt.Minor!C67</f>
        <v>10</v>
      </c>
      <c r="D136" s="141">
        <f>Distt.Minor!D67</f>
        <v>24.95</v>
      </c>
      <c r="E136" s="141">
        <f>Distt.Minor!E67</f>
        <v>17286</v>
      </c>
      <c r="F136" s="141">
        <f>Distt.Minor!F67</f>
        <v>11236114</v>
      </c>
      <c r="G136" s="141">
        <f>Distt.Minor!G67</f>
        <v>2875723</v>
      </c>
      <c r="H136" s="141">
        <f>Distt.Minor!H67</f>
        <v>30</v>
      </c>
    </row>
    <row r="137" spans="1:15" ht="17.100000000000001" customHeight="1" x14ac:dyDescent="0.25">
      <c r="A137" s="133">
        <v>3</v>
      </c>
      <c r="B137" s="188" t="s">
        <v>246</v>
      </c>
      <c r="C137" s="117">
        <f>Distt.Minor!C136</f>
        <v>1</v>
      </c>
      <c r="D137" s="117">
        <f>Distt.Minor!D136</f>
        <v>161.09</v>
      </c>
      <c r="E137" s="117">
        <f>Distt.Minor!E136</f>
        <v>6275</v>
      </c>
      <c r="F137" s="117">
        <f>Distt.Minor!F136</f>
        <v>3451242</v>
      </c>
      <c r="G137" s="117">
        <f>Distt.Minor!G136</f>
        <v>2246230</v>
      </c>
      <c r="H137" s="117">
        <f>Distt.Minor!H136</f>
        <v>6</v>
      </c>
    </row>
    <row r="138" spans="1:15" ht="17.100000000000001" customHeight="1" x14ac:dyDescent="0.25">
      <c r="A138" s="133">
        <v>4</v>
      </c>
      <c r="B138" s="188" t="s">
        <v>422</v>
      </c>
      <c r="C138" s="201">
        <f>Distt.Minor!C409</f>
        <v>2</v>
      </c>
      <c r="D138" s="201">
        <f>Distt.Minor!D409</f>
        <v>2</v>
      </c>
      <c r="E138" s="201">
        <f>Distt.Minor!E409</f>
        <v>0</v>
      </c>
      <c r="F138" s="201">
        <f>Distt.Minor!F409</f>
        <v>0</v>
      </c>
      <c r="G138" s="201">
        <f>Distt.Minor!G409</f>
        <v>0</v>
      </c>
      <c r="H138" s="201">
        <f>Distt.Minor!H409</f>
        <v>0</v>
      </c>
    </row>
    <row r="139" spans="1:15" ht="17.100000000000001" customHeight="1" x14ac:dyDescent="0.25">
      <c r="A139" s="133">
        <v>5</v>
      </c>
      <c r="B139" s="188" t="s">
        <v>288</v>
      </c>
      <c r="C139" s="117">
        <f>Distt.Minor!C377</f>
        <v>1</v>
      </c>
      <c r="D139" s="117">
        <f>Distt.Minor!D377</f>
        <v>1.39</v>
      </c>
      <c r="E139" s="117">
        <f>Distt.Minor!E377</f>
        <v>0</v>
      </c>
      <c r="F139" s="117">
        <f>Distt.Minor!F377</f>
        <v>0</v>
      </c>
      <c r="G139" s="117">
        <f>Distt.Minor!G377</f>
        <v>0</v>
      </c>
      <c r="H139" s="117">
        <f>Distt.Minor!H377</f>
        <v>0</v>
      </c>
    </row>
    <row r="140" spans="1:15" ht="17.100000000000001" customHeight="1" x14ac:dyDescent="0.25">
      <c r="A140" s="133">
        <v>6</v>
      </c>
      <c r="B140" s="188" t="s">
        <v>264</v>
      </c>
      <c r="C140" s="117">
        <f>Distt.Minor!C521</f>
        <v>2</v>
      </c>
      <c r="D140" s="117">
        <f>Distt.Minor!D521</f>
        <v>8</v>
      </c>
      <c r="E140" s="117">
        <f>Distt.Minor!E521</f>
        <v>0</v>
      </c>
      <c r="F140" s="117">
        <f>Distt.Minor!F521</f>
        <v>0</v>
      </c>
      <c r="G140" s="117">
        <f>Distt.Minor!G521</f>
        <v>0</v>
      </c>
      <c r="H140" s="117">
        <f>Distt.Minor!H521</f>
        <v>0</v>
      </c>
    </row>
    <row r="141" spans="1:15" ht="17.100000000000001" customHeight="1" x14ac:dyDescent="0.25">
      <c r="A141" s="1300" t="s">
        <v>50</v>
      </c>
      <c r="B141" s="1301"/>
      <c r="C141" s="35">
        <f t="shared" ref="C141:H141" si="22">SUM(C135:C140)</f>
        <v>17</v>
      </c>
      <c r="D141" s="34">
        <f t="shared" si="22"/>
        <v>198.42999999999998</v>
      </c>
      <c r="E141" s="33">
        <f t="shared" si="22"/>
        <v>23561</v>
      </c>
      <c r="F141" s="35">
        <f t="shared" si="22"/>
        <v>14687356</v>
      </c>
      <c r="G141" s="33">
        <f t="shared" si="22"/>
        <v>5121953</v>
      </c>
      <c r="H141" s="33">
        <f t="shared" si="22"/>
        <v>36</v>
      </c>
      <c r="J141" s="240">
        <f>'Minor Minerals'!C157</f>
        <v>17</v>
      </c>
      <c r="K141" s="240">
        <f>'Minor Minerals'!D157</f>
        <v>198.42999999999998</v>
      </c>
      <c r="L141" s="240">
        <f>'Minor Minerals'!E157</f>
        <v>23561</v>
      </c>
      <c r="M141" s="240">
        <f>'Minor Minerals'!F157</f>
        <v>14687356</v>
      </c>
      <c r="N141" s="240">
        <f>'Minor Minerals'!G157</f>
        <v>5121953</v>
      </c>
      <c r="O141" s="240">
        <f>'Minor Minerals'!H157</f>
        <v>36</v>
      </c>
    </row>
    <row r="142" spans="1:15" ht="17.100000000000001" customHeight="1" x14ac:dyDescent="0.25">
      <c r="A142" s="136"/>
      <c r="B142" s="136"/>
      <c r="C142" s="136"/>
      <c r="D142" s="136"/>
      <c r="E142" s="136"/>
      <c r="F142" s="136"/>
      <c r="G142" s="136"/>
      <c r="H142" s="136"/>
      <c r="J142" s="128">
        <f>J141-C141</f>
        <v>0</v>
      </c>
      <c r="K142" s="128">
        <f t="shared" ref="K142:O142" si="23">K141-D141</f>
        <v>0</v>
      </c>
      <c r="L142" s="128">
        <f t="shared" si="23"/>
        <v>0</v>
      </c>
      <c r="M142" s="128">
        <f t="shared" si="23"/>
        <v>0</v>
      </c>
      <c r="N142" s="128">
        <f t="shared" si="23"/>
        <v>0</v>
      </c>
      <c r="O142" s="128">
        <f t="shared" si="23"/>
        <v>0</v>
      </c>
    </row>
    <row r="143" spans="1:15" ht="17.100000000000001" customHeight="1" x14ac:dyDescent="0.25">
      <c r="A143" s="136"/>
      <c r="B143" s="136"/>
      <c r="C143" s="136"/>
      <c r="D143" s="136"/>
      <c r="E143" s="136"/>
      <c r="F143" s="136"/>
      <c r="G143" s="136"/>
      <c r="H143" s="136"/>
    </row>
    <row r="144" spans="1:15" ht="17.100000000000001" customHeight="1" x14ac:dyDescent="0.25">
      <c r="A144" s="1155" t="s">
        <v>58</v>
      </c>
      <c r="B144" s="1155"/>
      <c r="C144" s="1155"/>
      <c r="D144" s="1155"/>
      <c r="E144" s="1155"/>
      <c r="F144" s="1155"/>
      <c r="G144" s="1155"/>
      <c r="H144" s="1155"/>
    </row>
    <row r="145" spans="1:8" ht="17.100000000000001" customHeight="1" x14ac:dyDescent="0.25">
      <c r="A145" s="1122" t="s">
        <v>2</v>
      </c>
      <c r="B145" s="1124" t="s">
        <v>270</v>
      </c>
      <c r="C145" s="249" t="s">
        <v>4</v>
      </c>
      <c r="D145" s="249" t="s">
        <v>5</v>
      </c>
      <c r="E145" s="249" t="s">
        <v>6</v>
      </c>
      <c r="F145" s="249" t="s">
        <v>7</v>
      </c>
      <c r="G145" s="249" t="s">
        <v>8</v>
      </c>
      <c r="H145" s="249" t="s">
        <v>9</v>
      </c>
    </row>
    <row r="146" spans="1:8" ht="17.100000000000001" customHeight="1" x14ac:dyDescent="0.25">
      <c r="A146" s="1123"/>
      <c r="B146" s="1125"/>
      <c r="C146" s="2" t="s">
        <v>10</v>
      </c>
      <c r="D146" s="2" t="s">
        <v>52</v>
      </c>
      <c r="E146" s="2" t="s">
        <v>79</v>
      </c>
      <c r="F146" s="52" t="s">
        <v>80</v>
      </c>
      <c r="G146" s="52" t="s">
        <v>80</v>
      </c>
      <c r="H146" s="2" t="s">
        <v>13</v>
      </c>
    </row>
    <row r="147" spans="1:8" ht="17.100000000000001" customHeight="1" x14ac:dyDescent="0.25">
      <c r="A147" s="133">
        <v>1</v>
      </c>
      <c r="B147" s="188" t="s">
        <v>240</v>
      </c>
      <c r="C147" s="63">
        <f>Distt.Minor!C9</f>
        <v>410</v>
      </c>
      <c r="D147" s="63">
        <f>Distt.Minor!D9</f>
        <v>567.72</v>
      </c>
      <c r="E147" s="63">
        <f>Distt.Minor!E9</f>
        <v>1926151</v>
      </c>
      <c r="F147" s="63">
        <f>Distt.Minor!F9</f>
        <v>4147586246</v>
      </c>
      <c r="G147" s="63">
        <f>Distt.Minor!G9</f>
        <v>531167907</v>
      </c>
      <c r="H147" s="63">
        <f>Distt.Minor!H9</f>
        <v>3245</v>
      </c>
    </row>
    <row r="148" spans="1:8" ht="17.100000000000001" customHeight="1" x14ac:dyDescent="0.25">
      <c r="A148" s="133">
        <v>2</v>
      </c>
      <c r="B148" s="188" t="s">
        <v>271</v>
      </c>
      <c r="C148" s="141">
        <f>Distt.Minor!C30</f>
        <v>6</v>
      </c>
      <c r="D148" s="141">
        <f>Distt.Minor!D30</f>
        <v>7</v>
      </c>
      <c r="E148" s="141">
        <f>Distt.Minor!E30</f>
        <v>2400</v>
      </c>
      <c r="F148" s="141">
        <f>Distt.Minor!F30</f>
        <v>5041071</v>
      </c>
      <c r="G148" s="141">
        <f>Distt.Minor!G30</f>
        <v>84018</v>
      </c>
      <c r="H148" s="141">
        <f>Distt.Minor!H30</f>
        <v>60</v>
      </c>
    </row>
    <row r="149" spans="1:8" ht="17.100000000000001" customHeight="1" x14ac:dyDescent="0.25">
      <c r="A149" s="133">
        <v>3</v>
      </c>
      <c r="B149" s="188" t="s">
        <v>243</v>
      </c>
      <c r="C149" s="141">
        <f>Distt.Minor!C63</f>
        <v>61</v>
      </c>
      <c r="D149" s="141">
        <f>Distt.Minor!D63</f>
        <v>151.66999999999999</v>
      </c>
      <c r="E149" s="141">
        <f>Distt.Minor!E63</f>
        <v>106840</v>
      </c>
      <c r="F149" s="141">
        <f>Distt.Minor!F63</f>
        <v>229707634</v>
      </c>
      <c r="G149" s="141">
        <f>Distt.Minor!G63</f>
        <v>66962590</v>
      </c>
      <c r="H149" s="141">
        <f>Distt.Minor!H63</f>
        <v>875</v>
      </c>
    </row>
    <row r="150" spans="1:8" ht="17.100000000000001" customHeight="1" x14ac:dyDescent="0.25">
      <c r="A150" s="133">
        <v>4</v>
      </c>
      <c r="B150" s="188" t="s">
        <v>242</v>
      </c>
      <c r="C150" s="141">
        <f>Distt.Minor!C55</f>
        <v>1</v>
      </c>
      <c r="D150" s="141">
        <f>Distt.Minor!D55</f>
        <v>1.55</v>
      </c>
      <c r="E150" s="141">
        <f>Distt.Minor!E55</f>
        <v>389.44</v>
      </c>
      <c r="F150" s="141">
        <f>Distt.Minor!F55</f>
        <v>817824</v>
      </c>
      <c r="G150" s="141">
        <f>Distt.Minor!G55</f>
        <v>82419</v>
      </c>
      <c r="H150" s="141">
        <f>Distt.Minor!H55</f>
        <v>10</v>
      </c>
    </row>
    <row r="151" spans="1:8" ht="17.100000000000001" customHeight="1" x14ac:dyDescent="0.25">
      <c r="A151" s="133">
        <v>5</v>
      </c>
      <c r="B151" s="188" t="s">
        <v>245</v>
      </c>
      <c r="C151" s="141">
        <f>Distt.Minor!C111</f>
        <v>403</v>
      </c>
      <c r="D151" s="141">
        <f>Distt.Minor!D111</f>
        <v>942.59</v>
      </c>
      <c r="E151" s="141">
        <f>Distt.Minor!E111</f>
        <v>2028350</v>
      </c>
      <c r="F151" s="141">
        <f>Distt.Minor!F111</f>
        <v>4259535000</v>
      </c>
      <c r="G151" s="141">
        <f>Distt.Minor!G111</f>
        <v>450401261</v>
      </c>
      <c r="H151" s="141">
        <f>Distt.Minor!H111</f>
        <v>985</v>
      </c>
    </row>
    <row r="152" spans="1:8" ht="17.100000000000001" customHeight="1" x14ac:dyDescent="0.25">
      <c r="A152" s="133">
        <v>6</v>
      </c>
      <c r="B152" s="188" t="s">
        <v>419</v>
      </c>
      <c r="C152" s="141">
        <f>Distt.Minor!C174</f>
        <v>5</v>
      </c>
      <c r="D152" s="141">
        <f>Distt.Minor!D174</f>
        <v>11.57</v>
      </c>
      <c r="E152" s="141">
        <f>Distt.Minor!E174</f>
        <v>1827.4193548387098</v>
      </c>
      <c r="F152" s="141">
        <f>Distt.Minor!F174</f>
        <v>3928951.6129032262</v>
      </c>
      <c r="G152" s="141">
        <f>Distt.Minor!G174</f>
        <v>566500</v>
      </c>
      <c r="H152" s="141">
        <f>Distt.Minor!H174</f>
        <v>35</v>
      </c>
    </row>
    <row r="153" spans="1:8" ht="17.100000000000001" customHeight="1" x14ac:dyDescent="0.25">
      <c r="A153" s="133">
        <v>7</v>
      </c>
      <c r="B153" s="188" t="s">
        <v>254</v>
      </c>
      <c r="C153" s="133">
        <f>Distt.Minor!C261</f>
        <v>87</v>
      </c>
      <c r="D153" s="133">
        <f>Distt.Minor!D261</f>
        <v>236.17</v>
      </c>
      <c r="E153" s="133">
        <f>Distt.Minor!E261</f>
        <v>106415.14</v>
      </c>
      <c r="F153" s="133">
        <f>Distt.Minor!F261</f>
        <v>228792551</v>
      </c>
      <c r="G153" s="133">
        <f>Distt.Minor!G261</f>
        <v>46690590</v>
      </c>
      <c r="H153" s="133">
        <f>Distt.Minor!H261</f>
        <v>490</v>
      </c>
    </row>
    <row r="154" spans="1:8" ht="17.100000000000001" customHeight="1" x14ac:dyDescent="0.25">
      <c r="A154" s="133">
        <v>8</v>
      </c>
      <c r="B154" s="188" t="s">
        <v>252</v>
      </c>
      <c r="C154" s="141">
        <f>Distt.Minor!C288</f>
        <v>31</v>
      </c>
      <c r="D154" s="141">
        <f>Distt.Minor!D288</f>
        <v>53.56</v>
      </c>
      <c r="E154" s="141">
        <f>Distt.Minor!E288</f>
        <v>205478</v>
      </c>
      <c r="F154" s="141">
        <f>Distt.Minor!F288</f>
        <v>431503800</v>
      </c>
      <c r="G154" s="141">
        <f>Distt.Minor!G288</f>
        <v>53077591</v>
      </c>
      <c r="H154" s="141">
        <f>Distt.Minor!H288</f>
        <v>85</v>
      </c>
    </row>
    <row r="155" spans="1:8" ht="17.100000000000001" customHeight="1" x14ac:dyDescent="0.25">
      <c r="A155" s="133">
        <v>9</v>
      </c>
      <c r="B155" s="188" t="s">
        <v>255</v>
      </c>
      <c r="C155" s="117">
        <f>Distt.Minor!C309</f>
        <v>352</v>
      </c>
      <c r="D155" s="117">
        <f>Distt.Minor!D309</f>
        <v>757.17700000000002</v>
      </c>
      <c r="E155" s="117">
        <f>Distt.Minor!E309</f>
        <v>925819.37</v>
      </c>
      <c r="F155" s="117">
        <f>Distt.Minor!F309</f>
        <v>1990511646</v>
      </c>
      <c r="G155" s="117">
        <f>Distt.Minor!G309</f>
        <v>268487545</v>
      </c>
      <c r="H155" s="117">
        <f>Distt.Minor!H309</f>
        <v>2272</v>
      </c>
    </row>
    <row r="156" spans="1:8" ht="17.100000000000001" customHeight="1" x14ac:dyDescent="0.25">
      <c r="A156" s="133">
        <v>10</v>
      </c>
      <c r="B156" s="188" t="s">
        <v>256</v>
      </c>
      <c r="C156" s="116">
        <f>Distt.Minor!C340</f>
        <v>26</v>
      </c>
      <c r="D156" s="116">
        <f>Distt.Minor!D340</f>
        <v>100.483</v>
      </c>
      <c r="E156" s="116">
        <f>Distt.Minor!E340</f>
        <v>205770</v>
      </c>
      <c r="F156" s="116">
        <f>Distt.Minor!F340</f>
        <v>442405500</v>
      </c>
      <c r="G156" s="116">
        <f>Distt.Minor!G340</f>
        <v>7202000</v>
      </c>
      <c r="H156" s="116">
        <f>Distt.Minor!H340</f>
        <v>68</v>
      </c>
    </row>
    <row r="157" spans="1:8" ht="17.100000000000001" customHeight="1" x14ac:dyDescent="0.25">
      <c r="A157" s="133">
        <v>11</v>
      </c>
      <c r="B157" s="188" t="s">
        <v>257</v>
      </c>
      <c r="C157" s="117">
        <f>Distt.Minor!C359</f>
        <v>20</v>
      </c>
      <c r="D157" s="117">
        <f>Distt.Minor!D359</f>
        <v>36.71</v>
      </c>
      <c r="E157" s="117">
        <f>Distt.Minor!E359</f>
        <v>9606</v>
      </c>
      <c r="F157" s="117">
        <f>Distt.Minor!F359</f>
        <v>20654082</v>
      </c>
      <c r="G157" s="117">
        <f>Distt.Minor!G359</f>
        <v>4667000</v>
      </c>
      <c r="H157" s="117">
        <f>Distt.Minor!H359</f>
        <v>24</v>
      </c>
    </row>
    <row r="158" spans="1:8" ht="17.100000000000001" customHeight="1" x14ac:dyDescent="0.25">
      <c r="A158" s="133">
        <v>12</v>
      </c>
      <c r="B158" s="188" t="s">
        <v>288</v>
      </c>
      <c r="C158" s="141">
        <f>Distt.Minor!C378</f>
        <v>1</v>
      </c>
      <c r="D158" s="141">
        <f>Distt.Minor!D378</f>
        <v>1</v>
      </c>
      <c r="E158" s="141">
        <f>Distt.Minor!E378</f>
        <v>0</v>
      </c>
      <c r="F158" s="141">
        <f>Distt.Minor!F378</f>
        <v>0</v>
      </c>
      <c r="G158" s="141">
        <f>Distt.Minor!G378</f>
        <v>0</v>
      </c>
      <c r="H158" s="141">
        <f>Distt.Minor!H378</f>
        <v>0</v>
      </c>
    </row>
    <row r="159" spans="1:8" ht="17.100000000000001" customHeight="1" x14ac:dyDescent="0.25">
      <c r="A159" s="133">
        <v>13</v>
      </c>
      <c r="B159" s="188" t="s">
        <v>259</v>
      </c>
      <c r="C159" s="141">
        <f>Distt.Minor!C413</f>
        <v>24</v>
      </c>
      <c r="D159" s="141">
        <f>Distt.Minor!D413</f>
        <v>38.18</v>
      </c>
      <c r="E159" s="141">
        <f>Distt.Minor!E413</f>
        <v>8605</v>
      </c>
      <c r="F159" s="141">
        <f>Distt.Minor!F413</f>
        <v>18071144</v>
      </c>
      <c r="G159" s="141">
        <f>Distt.Minor!G413</f>
        <v>6165449</v>
      </c>
      <c r="H159" s="141">
        <f>Distt.Minor!H413</f>
        <v>45</v>
      </c>
    </row>
    <row r="160" spans="1:8" ht="17.100000000000001" customHeight="1" x14ac:dyDescent="0.25">
      <c r="A160" s="133">
        <v>14</v>
      </c>
      <c r="B160" s="188" t="s">
        <v>260</v>
      </c>
      <c r="C160" s="133">
        <f>Distt.Minor!C428</f>
        <v>277</v>
      </c>
      <c r="D160" s="133">
        <f>Distt.Minor!D428</f>
        <v>605.97</v>
      </c>
      <c r="E160" s="133">
        <f>Distt.Minor!E428</f>
        <v>1554441</v>
      </c>
      <c r="F160" s="133">
        <f>Distt.Minor!F428</f>
        <v>3342049440</v>
      </c>
      <c r="G160" s="133">
        <f>Distt.Minor!G428</f>
        <v>452605574</v>
      </c>
      <c r="H160" s="133">
        <f>Distt.Minor!H428</f>
        <v>830</v>
      </c>
    </row>
    <row r="161" spans="1:15" ht="17.100000000000001" customHeight="1" x14ac:dyDescent="0.25">
      <c r="A161" s="133">
        <v>15</v>
      </c>
      <c r="B161" s="188" t="s">
        <v>275</v>
      </c>
      <c r="C161" s="141">
        <f>Distt.Minor!C468</f>
        <v>383</v>
      </c>
      <c r="D161" s="141">
        <f>Distt.Minor!D468</f>
        <v>970.57</v>
      </c>
      <c r="E161" s="141">
        <f>Distt.Minor!E468</f>
        <v>1965915</v>
      </c>
      <c r="F161" s="141">
        <f>Distt.Minor!F468</f>
        <v>4226717121</v>
      </c>
      <c r="G161" s="141">
        <f>Distt.Minor!G468</f>
        <v>805267255</v>
      </c>
      <c r="H161" s="141">
        <f>Distt.Minor!H468</f>
        <v>1722</v>
      </c>
    </row>
    <row r="162" spans="1:15" ht="17.100000000000001" customHeight="1" x14ac:dyDescent="0.25">
      <c r="A162" s="133">
        <v>16</v>
      </c>
      <c r="B162" s="188" t="s">
        <v>264</v>
      </c>
      <c r="C162" s="133">
        <f>Distt.Minor!C515</f>
        <v>2</v>
      </c>
      <c r="D162" s="133">
        <f>Distt.Minor!D515</f>
        <v>2.88</v>
      </c>
      <c r="E162" s="133">
        <f>Distt.Minor!E515</f>
        <v>2053.2199999999998</v>
      </c>
      <c r="F162" s="133">
        <f>Distt.Minor!F515</f>
        <v>4414423</v>
      </c>
      <c r="G162" s="133">
        <f>Distt.Minor!G515</f>
        <v>72177</v>
      </c>
      <c r="H162" s="133">
        <f>Distt.Minor!H515</f>
        <v>25</v>
      </c>
    </row>
    <row r="163" spans="1:15" ht="17.100000000000001" customHeight="1" x14ac:dyDescent="0.25">
      <c r="A163" s="133">
        <v>17</v>
      </c>
      <c r="B163" s="188" t="s">
        <v>265</v>
      </c>
      <c r="C163" s="190">
        <f>Distt.Minor!C537</f>
        <v>186</v>
      </c>
      <c r="D163" s="190">
        <f>Distt.Minor!D537</f>
        <v>343.71</v>
      </c>
      <c r="E163" s="190">
        <f>Distt.Minor!E537</f>
        <v>786468</v>
      </c>
      <c r="F163" s="190">
        <f>Distt.Minor!F537</f>
        <v>1651584165</v>
      </c>
      <c r="G163" s="190">
        <f>Distt.Minor!G537</f>
        <v>306961889</v>
      </c>
      <c r="H163" s="190">
        <f>Distt.Minor!H537</f>
        <v>1580</v>
      </c>
    </row>
    <row r="164" spans="1:15" ht="17.100000000000001" customHeight="1" x14ac:dyDescent="0.25">
      <c r="A164" s="133">
        <v>18</v>
      </c>
      <c r="B164" s="188" t="s">
        <v>278</v>
      </c>
      <c r="C164" s="190">
        <f>Distt.Minor!C556</f>
        <v>136</v>
      </c>
      <c r="D164" s="190">
        <f>Distt.Minor!D556</f>
        <v>204.27</v>
      </c>
      <c r="E164" s="190">
        <f>Distt.Minor!E556</f>
        <v>1032889</v>
      </c>
      <c r="F164" s="190">
        <f>Distt.Minor!F556</f>
        <v>2220711350</v>
      </c>
      <c r="G164" s="190">
        <f>Distt.Minor!G556</f>
        <v>320195590</v>
      </c>
      <c r="H164" s="190">
        <f>Distt.Minor!H556</f>
        <v>1500</v>
      </c>
    </row>
    <row r="165" spans="1:15" ht="17.100000000000001" customHeight="1" x14ac:dyDescent="0.25">
      <c r="A165" s="133">
        <v>19</v>
      </c>
      <c r="B165" s="188" t="s">
        <v>267</v>
      </c>
      <c r="C165" s="141">
        <f>Distt.Minor!C573</f>
        <v>10</v>
      </c>
      <c r="D165" s="141">
        <f>Distt.Minor!D573</f>
        <v>24.95</v>
      </c>
      <c r="E165" s="141">
        <f>Distt.Minor!E573</f>
        <v>36707</v>
      </c>
      <c r="F165" s="141">
        <f>Distt.Minor!F573</f>
        <v>78270850</v>
      </c>
      <c r="G165" s="141">
        <f>Distt.Minor!G573</f>
        <v>10314695</v>
      </c>
      <c r="H165" s="141">
        <f>Distt.Minor!H573</f>
        <v>53</v>
      </c>
    </row>
    <row r="166" spans="1:15" ht="17.100000000000001" customHeight="1" x14ac:dyDescent="0.25">
      <c r="A166" s="133">
        <v>20</v>
      </c>
      <c r="B166" s="827" t="s">
        <v>276</v>
      </c>
      <c r="C166" s="141">
        <f>'Office Minor'!C681</f>
        <v>1</v>
      </c>
      <c r="D166" s="141">
        <f>'Office Minor'!D681</f>
        <v>1.04</v>
      </c>
      <c r="E166" s="141">
        <f>'Office Minor'!E681</f>
        <v>291</v>
      </c>
      <c r="F166" s="141">
        <f>'Office Minor'!F681</f>
        <v>626209</v>
      </c>
      <c r="G166" s="141">
        <f>'Office Minor'!G681</f>
        <v>84465</v>
      </c>
      <c r="H166" s="141">
        <f>'Office Minor'!H681</f>
        <v>25</v>
      </c>
    </row>
    <row r="167" spans="1:15" ht="17.100000000000001" customHeight="1" x14ac:dyDescent="0.25">
      <c r="A167" s="1300" t="s">
        <v>50</v>
      </c>
      <c r="B167" s="1301"/>
      <c r="C167" s="35">
        <f>SUM(C147:C166)</f>
        <v>2422</v>
      </c>
      <c r="D167" s="35">
        <f t="shared" ref="D167:H167" si="24">SUM(D147:D166)</f>
        <v>5058.7700000000004</v>
      </c>
      <c r="E167" s="35">
        <f t="shared" si="24"/>
        <v>10906415.589354841</v>
      </c>
      <c r="F167" s="35">
        <f t="shared" si="24"/>
        <v>23302929007.612904</v>
      </c>
      <c r="G167" s="35">
        <f t="shared" si="24"/>
        <v>3331056515</v>
      </c>
      <c r="H167" s="35">
        <f t="shared" si="24"/>
        <v>13929</v>
      </c>
      <c r="J167" s="240">
        <f>'Minor Minerals'!C199</f>
        <v>2422</v>
      </c>
      <c r="K167" s="240">
        <f>'Minor Minerals'!D199</f>
        <v>5058.7700000000013</v>
      </c>
      <c r="L167" s="240">
        <f>'Minor Minerals'!E199</f>
        <v>10906415.589354837</v>
      </c>
      <c r="M167" s="240">
        <f>'Minor Minerals'!F199</f>
        <v>23302929007.612904</v>
      </c>
      <c r="N167" s="240">
        <f>'Minor Minerals'!G199</f>
        <v>3331056515</v>
      </c>
      <c r="O167" s="240">
        <f>'Minor Minerals'!H199</f>
        <v>13929</v>
      </c>
    </row>
    <row r="168" spans="1:15" ht="17.100000000000001" customHeight="1" x14ac:dyDescent="0.25">
      <c r="A168" s="36"/>
      <c r="B168" s="36"/>
      <c r="C168" s="36"/>
      <c r="D168" s="37"/>
      <c r="E168" s="38"/>
      <c r="F168" s="36"/>
      <c r="G168" s="38"/>
      <c r="H168" s="38"/>
      <c r="J168" s="128">
        <f>J167-C167</f>
        <v>0</v>
      </c>
      <c r="K168" s="128">
        <f t="shared" ref="K168:O168" si="25">K167-D167</f>
        <v>0</v>
      </c>
      <c r="L168" s="128">
        <f t="shared" si="25"/>
        <v>0</v>
      </c>
      <c r="M168" s="128">
        <f t="shared" si="25"/>
        <v>0</v>
      </c>
      <c r="N168" s="128">
        <f t="shared" si="25"/>
        <v>0</v>
      </c>
      <c r="O168" s="128">
        <f t="shared" si="25"/>
        <v>0</v>
      </c>
    </row>
    <row r="169" spans="1:15" ht="17.100000000000001" customHeight="1" x14ac:dyDescent="0.3">
      <c r="A169" s="1142" t="s">
        <v>31</v>
      </c>
      <c r="B169" s="1142"/>
      <c r="C169" s="1142"/>
      <c r="D169" s="1142"/>
      <c r="E169" s="1142"/>
      <c r="F169" s="1142"/>
      <c r="G169" s="1142"/>
      <c r="H169" s="1142"/>
    </row>
    <row r="170" spans="1:15" ht="17.100000000000001" customHeight="1" x14ac:dyDescent="0.25">
      <c r="A170" s="1122" t="s">
        <v>2</v>
      </c>
      <c r="B170" s="1124" t="s">
        <v>270</v>
      </c>
      <c r="C170" s="249" t="s">
        <v>4</v>
      </c>
      <c r="D170" s="249" t="s">
        <v>5</v>
      </c>
      <c r="E170" s="249" t="s">
        <v>6</v>
      </c>
      <c r="F170" s="249" t="s">
        <v>7</v>
      </c>
      <c r="G170" s="249" t="s">
        <v>8</v>
      </c>
      <c r="H170" s="249" t="s">
        <v>9</v>
      </c>
    </row>
    <row r="171" spans="1:15" ht="17.100000000000001" customHeight="1" x14ac:dyDescent="0.25">
      <c r="A171" s="1123"/>
      <c r="B171" s="1125"/>
      <c r="C171" s="2" t="s">
        <v>10</v>
      </c>
      <c r="D171" s="2" t="s">
        <v>78</v>
      </c>
      <c r="E171" s="2" t="s">
        <v>79</v>
      </c>
      <c r="F171" s="52" t="s">
        <v>80</v>
      </c>
      <c r="G171" s="52" t="s">
        <v>80</v>
      </c>
      <c r="H171" s="2" t="s">
        <v>13</v>
      </c>
    </row>
    <row r="172" spans="1:15" ht="17.100000000000001" customHeight="1" x14ac:dyDescent="0.25">
      <c r="A172" s="133">
        <v>1</v>
      </c>
      <c r="B172" s="192" t="s">
        <v>243</v>
      </c>
      <c r="C172" s="133">
        <f>Distt.Minor!C70</f>
        <v>2</v>
      </c>
      <c r="D172" s="133">
        <f>Distt.Minor!D70</f>
        <v>340.68</v>
      </c>
      <c r="E172" s="133">
        <f>Distt.Minor!E70</f>
        <v>923446</v>
      </c>
      <c r="F172" s="133">
        <f>Distt.Minor!F70</f>
        <v>629584590</v>
      </c>
      <c r="G172" s="133">
        <f>Distt.Minor!G70</f>
        <v>166149943</v>
      </c>
      <c r="H172" s="133">
        <f>Distt.Minor!H70</f>
        <v>330</v>
      </c>
    </row>
    <row r="173" spans="1:15" ht="17.100000000000001" customHeight="1" x14ac:dyDescent="0.25">
      <c r="A173" s="133">
        <v>2</v>
      </c>
      <c r="B173" s="192" t="s">
        <v>246</v>
      </c>
      <c r="C173" s="141">
        <f>Distt.Minor!C141</f>
        <v>36</v>
      </c>
      <c r="D173" s="141">
        <f>Distt.Minor!D141</f>
        <v>4825.1099999999997</v>
      </c>
      <c r="E173" s="141">
        <f>Distt.Minor!E141</f>
        <v>2918684</v>
      </c>
      <c r="F173" s="141">
        <f>Distt.Minor!F141</f>
        <v>2189013000</v>
      </c>
      <c r="G173" s="141">
        <f>Distt.Minor!G141</f>
        <v>552452101</v>
      </c>
      <c r="H173" s="141">
        <f>Distt.Minor!H141</f>
        <v>225</v>
      </c>
    </row>
    <row r="174" spans="1:15" ht="17.100000000000001" customHeight="1" x14ac:dyDescent="0.25">
      <c r="A174" s="133">
        <v>3</v>
      </c>
      <c r="B174" s="192" t="s">
        <v>284</v>
      </c>
      <c r="C174" s="141">
        <f>Distt.Minor!C197</f>
        <v>0</v>
      </c>
      <c r="D174" s="141">
        <f>Distt.Minor!D197</f>
        <v>0</v>
      </c>
      <c r="E174" s="141">
        <f>Distt.Minor!E197</f>
        <v>170052</v>
      </c>
      <c r="F174" s="141">
        <f>Distt.Minor!F197</f>
        <v>102031512</v>
      </c>
      <c r="G174" s="141">
        <f>Distt.Minor!G197</f>
        <v>12638400</v>
      </c>
      <c r="H174" s="141">
        <f>Distt.Minor!H197</f>
        <v>15</v>
      </c>
    </row>
    <row r="175" spans="1:15" ht="17.100000000000001" customHeight="1" x14ac:dyDescent="0.25">
      <c r="A175" s="133">
        <v>4</v>
      </c>
      <c r="B175" s="192" t="s">
        <v>415</v>
      </c>
      <c r="C175" s="133">
        <f>Distt.Minor!C252</f>
        <v>80</v>
      </c>
      <c r="D175" s="133">
        <f>Distt.Minor!D252</f>
        <v>280.3</v>
      </c>
      <c r="E175" s="133">
        <f>Distt.Minor!E252</f>
        <v>784391</v>
      </c>
      <c r="F175" s="133">
        <f>Distt.Minor!F252</f>
        <v>541229790</v>
      </c>
      <c r="G175" s="133">
        <f>Distt.Minor!G252</f>
        <v>152136717</v>
      </c>
      <c r="H175" s="133">
        <f>Distt.Minor!H252</f>
        <v>320</v>
      </c>
    </row>
    <row r="176" spans="1:15" ht="17.100000000000001" customHeight="1" x14ac:dyDescent="0.25">
      <c r="A176" s="133">
        <v>5</v>
      </c>
      <c r="B176" s="192" t="s">
        <v>254</v>
      </c>
      <c r="C176" s="116">
        <f>Distt.Minor!C264</f>
        <v>3</v>
      </c>
      <c r="D176" s="116">
        <f>Distt.Minor!D264</f>
        <v>917.9</v>
      </c>
      <c r="E176" s="116">
        <f>Distt.Minor!E264</f>
        <v>569846.78999999992</v>
      </c>
      <c r="F176" s="116">
        <f>Distt.Minor!F264</f>
        <v>393194285.09999996</v>
      </c>
      <c r="G176" s="116">
        <f>Distt.Minor!G264</f>
        <v>155366452</v>
      </c>
      <c r="H176" s="116">
        <f>Distt.Minor!H264</f>
        <v>45</v>
      </c>
    </row>
    <row r="177" spans="1:15" ht="17.100000000000001" customHeight="1" x14ac:dyDescent="0.25">
      <c r="A177" s="133">
        <v>6</v>
      </c>
      <c r="B177" s="192" t="s">
        <v>255</v>
      </c>
      <c r="C177" s="116">
        <f>Distt.Minor!C312</f>
        <v>1</v>
      </c>
      <c r="D177" s="116">
        <f>Distt.Minor!D312</f>
        <v>225</v>
      </c>
      <c r="E177" s="116">
        <f>Distt.Minor!E312</f>
        <v>16800</v>
      </c>
      <c r="F177" s="116">
        <f>Distt.Minor!F312</f>
        <v>12096000</v>
      </c>
      <c r="G177" s="116">
        <f>Distt.Minor!G312</f>
        <v>108000</v>
      </c>
      <c r="H177" s="116">
        <f>Distt.Minor!H312</f>
        <v>0</v>
      </c>
    </row>
    <row r="178" spans="1:15" ht="17.100000000000001" customHeight="1" x14ac:dyDescent="0.25">
      <c r="A178" s="133">
        <v>7</v>
      </c>
      <c r="B178" s="192" t="s">
        <v>259</v>
      </c>
      <c r="C178" s="197">
        <f>Distt.Minor!C410</f>
        <v>2</v>
      </c>
      <c r="D178" s="197">
        <f>Distt.Minor!D410</f>
        <v>1993.12</v>
      </c>
      <c r="E178" s="197">
        <f>Distt.Minor!E410</f>
        <v>140613</v>
      </c>
      <c r="F178" s="197">
        <f>Distt.Minor!F410</f>
        <v>105459750</v>
      </c>
      <c r="G178" s="197">
        <f>Distt.Minor!G410</f>
        <v>65129706</v>
      </c>
      <c r="H178" s="197">
        <f>Distt.Minor!H410</f>
        <v>150</v>
      </c>
    </row>
    <row r="179" spans="1:15" ht="17.100000000000001" customHeight="1" x14ac:dyDescent="0.25">
      <c r="A179" s="133">
        <v>8</v>
      </c>
      <c r="B179" s="192" t="s">
        <v>277</v>
      </c>
      <c r="C179" s="190">
        <f>Distt.Minor!C506</f>
        <v>8</v>
      </c>
      <c r="D179" s="190">
        <f>Distt.Minor!D506</f>
        <v>670.38</v>
      </c>
      <c r="E179" s="190">
        <f>Distt.Minor!E506</f>
        <v>1153008</v>
      </c>
      <c r="F179" s="190">
        <f>Distt.Minor!F506</f>
        <v>864756645</v>
      </c>
      <c r="G179" s="190">
        <f>Distt.Minor!G506</f>
        <v>146415643</v>
      </c>
      <c r="H179" s="190">
        <f>Distt.Minor!H506</f>
        <v>250</v>
      </c>
    </row>
    <row r="180" spans="1:15" ht="17.100000000000001" customHeight="1" x14ac:dyDescent="0.25">
      <c r="A180" s="629">
        <v>9</v>
      </c>
      <c r="B180" s="199" t="s">
        <v>628</v>
      </c>
      <c r="C180" s="190">
        <f>'Office Minor'!C758</f>
        <v>0</v>
      </c>
      <c r="D180" s="190">
        <f>'Office Minor'!D758</f>
        <v>0</v>
      </c>
      <c r="E180" s="190">
        <f>'Office Minor'!E758</f>
        <v>35368</v>
      </c>
      <c r="F180" s="190">
        <f>'Office Minor'!F758</f>
        <v>26526000</v>
      </c>
      <c r="G180" s="190">
        <f>'Office Minor'!G758</f>
        <v>9969001</v>
      </c>
      <c r="H180" s="190">
        <f>'Office Minor'!H758</f>
        <v>150</v>
      </c>
    </row>
    <row r="181" spans="1:15" ht="17.100000000000001" customHeight="1" x14ac:dyDescent="0.25">
      <c r="A181" s="1300" t="s">
        <v>50</v>
      </c>
      <c r="B181" s="1301"/>
      <c r="C181" s="4">
        <f>SUM(C172:C180)</f>
        <v>132</v>
      </c>
      <c r="D181" s="4">
        <f t="shared" ref="D181:H181" si="26">SUM(D172:D180)</f>
        <v>9252.49</v>
      </c>
      <c r="E181" s="4">
        <f t="shared" si="26"/>
        <v>6712208.79</v>
      </c>
      <c r="F181" s="4">
        <f t="shared" si="26"/>
        <v>4863891572.1000004</v>
      </c>
      <c r="G181" s="4">
        <f t="shared" si="26"/>
        <v>1260365963</v>
      </c>
      <c r="H181" s="4">
        <f t="shared" si="26"/>
        <v>1485</v>
      </c>
      <c r="J181" s="238">
        <f>'Minor Minerals'!C213</f>
        <v>132</v>
      </c>
      <c r="K181" s="238">
        <f>'Minor Minerals'!D213</f>
        <v>9252.49</v>
      </c>
      <c r="L181" s="238">
        <f>'Minor Minerals'!E213</f>
        <v>6712208.79</v>
      </c>
      <c r="M181" s="238">
        <f>'Minor Minerals'!F213</f>
        <v>4863891572.1000004</v>
      </c>
      <c r="N181" s="238">
        <f>'Minor Minerals'!G213</f>
        <v>1260365963</v>
      </c>
      <c r="O181" s="238">
        <f>'Minor Minerals'!H213</f>
        <v>1485</v>
      </c>
    </row>
    <row r="182" spans="1:15" ht="17.100000000000001" customHeight="1" x14ac:dyDescent="0.25">
      <c r="A182" s="36"/>
      <c r="B182" s="36"/>
      <c r="C182" s="36"/>
      <c r="D182" s="37"/>
      <c r="E182" s="38"/>
      <c r="F182" s="36"/>
      <c r="G182" s="38"/>
      <c r="H182" s="38"/>
      <c r="J182" s="128">
        <f>J181-C181</f>
        <v>0</v>
      </c>
      <c r="K182" s="128">
        <f t="shared" ref="K182:O182" si="27">K181-D181</f>
        <v>0</v>
      </c>
      <c r="L182" s="128">
        <f t="shared" si="27"/>
        <v>0</v>
      </c>
      <c r="M182" s="128">
        <f t="shared" si="27"/>
        <v>0</v>
      </c>
      <c r="N182" s="128">
        <f t="shared" si="27"/>
        <v>0</v>
      </c>
      <c r="O182" s="128">
        <f t="shared" si="27"/>
        <v>0</v>
      </c>
    </row>
    <row r="183" spans="1:15" ht="17.100000000000001" customHeight="1" x14ac:dyDescent="0.25">
      <c r="A183" s="1302" t="s">
        <v>399</v>
      </c>
      <c r="B183" s="1302"/>
      <c r="C183" s="1302"/>
      <c r="D183" s="1302"/>
      <c r="E183" s="1302"/>
      <c r="F183" s="1302"/>
      <c r="G183" s="1302"/>
      <c r="H183" s="1302"/>
    </row>
    <row r="184" spans="1:15" ht="17.100000000000001" customHeight="1" x14ac:dyDescent="0.25">
      <c r="A184" s="1122" t="s">
        <v>2</v>
      </c>
      <c r="B184" s="1124" t="s">
        <v>270</v>
      </c>
      <c r="C184" s="249" t="s">
        <v>4</v>
      </c>
      <c r="D184" s="249" t="s">
        <v>5</v>
      </c>
      <c r="E184" s="249" t="s">
        <v>6</v>
      </c>
      <c r="F184" s="249" t="s">
        <v>7</v>
      </c>
      <c r="G184" s="249" t="s">
        <v>8</v>
      </c>
      <c r="H184" s="249" t="s">
        <v>9</v>
      </c>
    </row>
    <row r="185" spans="1:15" ht="17.100000000000001" customHeight="1" x14ac:dyDescent="0.25">
      <c r="A185" s="1299"/>
      <c r="B185" s="1125"/>
      <c r="C185" s="235" t="s">
        <v>10</v>
      </c>
      <c r="D185" s="235" t="s">
        <v>78</v>
      </c>
      <c r="E185" s="235" t="s">
        <v>79</v>
      </c>
      <c r="F185" s="56" t="s">
        <v>80</v>
      </c>
      <c r="G185" s="56" t="s">
        <v>80</v>
      </c>
      <c r="H185" s="235" t="s">
        <v>13</v>
      </c>
    </row>
    <row r="186" spans="1:15" ht="17.100000000000001" customHeight="1" x14ac:dyDescent="0.25">
      <c r="A186" s="133">
        <v>1</v>
      </c>
      <c r="B186" s="3" t="s">
        <v>432</v>
      </c>
      <c r="C186" s="133">
        <f>Distt.Minor!C412</f>
        <v>4</v>
      </c>
      <c r="D186" s="133">
        <f>Distt.Minor!D412</f>
        <v>13.865399999999999</v>
      </c>
      <c r="E186" s="133">
        <f>Distt.Minor!E412</f>
        <v>62227.520000000004</v>
      </c>
      <c r="F186" s="133">
        <f>Distt.Minor!F412</f>
        <v>23024682</v>
      </c>
      <c r="G186" s="133">
        <f>Distt.Minor!G412</f>
        <v>1050523</v>
      </c>
      <c r="H186" s="133">
        <f>Distt.Minor!H412</f>
        <v>105</v>
      </c>
    </row>
    <row r="187" spans="1:15" ht="17.100000000000001" customHeight="1" x14ac:dyDescent="0.25">
      <c r="A187" s="133"/>
      <c r="B187" s="3"/>
      <c r="C187" s="133"/>
      <c r="D187" s="133"/>
      <c r="E187" s="133"/>
      <c r="F187" s="133"/>
      <c r="G187" s="133"/>
      <c r="H187" s="133"/>
    </row>
    <row r="188" spans="1:15" ht="17.100000000000001" customHeight="1" x14ac:dyDescent="0.25">
      <c r="A188" s="1303" t="s">
        <v>50</v>
      </c>
      <c r="B188" s="1303"/>
      <c r="C188" s="4">
        <f t="shared" ref="C188:H188" si="28">SUM(C186:C186)</f>
        <v>4</v>
      </c>
      <c r="D188" s="5">
        <f t="shared" si="28"/>
        <v>13.865399999999999</v>
      </c>
      <c r="E188" s="7">
        <f t="shared" si="28"/>
        <v>62227.520000000004</v>
      </c>
      <c r="F188" s="7">
        <f t="shared" si="28"/>
        <v>23024682</v>
      </c>
      <c r="G188" s="7">
        <f t="shared" si="28"/>
        <v>1050523</v>
      </c>
      <c r="H188" s="4">
        <f t="shared" si="28"/>
        <v>105</v>
      </c>
      <c r="J188" s="238">
        <f>'Minor Minerals'!C220</f>
        <v>4</v>
      </c>
      <c r="K188" s="238">
        <f>'Minor Minerals'!D220</f>
        <v>13.865399999999999</v>
      </c>
      <c r="L188" s="238">
        <f>'Minor Minerals'!E220</f>
        <v>62227.520000000004</v>
      </c>
      <c r="M188" s="238">
        <f>'Minor Minerals'!F220</f>
        <v>23024682</v>
      </c>
      <c r="N188" s="238">
        <f>'Minor Minerals'!G220</f>
        <v>1050523</v>
      </c>
      <c r="O188" s="238">
        <f>'Minor Minerals'!H220</f>
        <v>105</v>
      </c>
    </row>
    <row r="189" spans="1:15" ht="17.100000000000001" customHeight="1" x14ac:dyDescent="0.25">
      <c r="A189" s="241"/>
      <c r="B189" s="241"/>
      <c r="C189" s="161"/>
      <c r="D189" s="162"/>
      <c r="E189" s="164"/>
      <c r="F189" s="164"/>
      <c r="G189" s="164"/>
      <c r="H189" s="161"/>
      <c r="J189" s="128">
        <f t="shared" ref="J189:O189" si="29">J188-C188</f>
        <v>0</v>
      </c>
      <c r="K189" s="128">
        <f t="shared" si="29"/>
        <v>0</v>
      </c>
      <c r="L189" s="128">
        <f t="shared" si="29"/>
        <v>0</v>
      </c>
      <c r="M189" s="128">
        <f t="shared" si="29"/>
        <v>0</v>
      </c>
      <c r="N189" s="128">
        <f t="shared" si="29"/>
        <v>0</v>
      </c>
      <c r="O189" s="128">
        <f t="shared" si="29"/>
        <v>0</v>
      </c>
    </row>
    <row r="190" spans="1:15" ht="17.100000000000001" customHeight="1" x14ac:dyDescent="0.3">
      <c r="A190" s="1142" t="s">
        <v>32</v>
      </c>
      <c r="B190" s="1142"/>
      <c r="C190" s="1142"/>
      <c r="D190" s="1142"/>
      <c r="E190" s="1142"/>
      <c r="F190" s="1142"/>
      <c r="G190" s="1142"/>
      <c r="H190" s="1142"/>
    </row>
    <row r="191" spans="1:15" ht="17.100000000000001" customHeight="1" x14ac:dyDescent="0.25">
      <c r="A191" s="1122" t="s">
        <v>2</v>
      </c>
      <c r="B191" s="1124" t="s">
        <v>270</v>
      </c>
      <c r="C191" s="249" t="s">
        <v>4</v>
      </c>
      <c r="D191" s="249" t="s">
        <v>5</v>
      </c>
      <c r="E191" s="249" t="s">
        <v>6</v>
      </c>
      <c r="F191" s="249" t="s">
        <v>7</v>
      </c>
      <c r="G191" s="249" t="s">
        <v>8</v>
      </c>
      <c r="H191" s="249" t="s">
        <v>9</v>
      </c>
    </row>
    <row r="192" spans="1:15" ht="17.100000000000001" customHeight="1" x14ac:dyDescent="0.25">
      <c r="A192" s="1123"/>
      <c r="B192" s="1125"/>
      <c r="C192" s="2" t="s">
        <v>10</v>
      </c>
      <c r="D192" s="2" t="s">
        <v>78</v>
      </c>
      <c r="E192" s="2" t="s">
        <v>79</v>
      </c>
      <c r="F192" s="52" t="s">
        <v>80</v>
      </c>
      <c r="G192" s="52" t="s">
        <v>80</v>
      </c>
      <c r="H192" s="2" t="s">
        <v>13</v>
      </c>
    </row>
    <row r="193" spans="1:15" ht="17.100000000000001" customHeight="1" x14ac:dyDescent="0.25">
      <c r="A193" s="133">
        <v>1</v>
      </c>
      <c r="B193" s="3" t="s">
        <v>255</v>
      </c>
      <c r="C193" s="116">
        <f>Distt.Minor!C313</f>
        <v>1</v>
      </c>
      <c r="D193" s="116">
        <f>Distt.Minor!D313</f>
        <v>24.5</v>
      </c>
      <c r="E193" s="116">
        <f>Distt.Minor!E313</f>
        <v>418</v>
      </c>
      <c r="F193" s="116">
        <f>Distt.Minor!F313</f>
        <v>104500</v>
      </c>
      <c r="G193" s="116">
        <f>Distt.Minor!G313</f>
        <v>12563</v>
      </c>
      <c r="H193" s="116">
        <f>Distt.Minor!H313</f>
        <v>4</v>
      </c>
    </row>
    <row r="194" spans="1:15" ht="17.100000000000001" customHeight="1" x14ac:dyDescent="0.25">
      <c r="A194" s="1300" t="s">
        <v>50</v>
      </c>
      <c r="B194" s="1301"/>
      <c r="C194" s="4">
        <f t="shared" ref="C194:H194" si="30">SUM(C193:C193)</f>
        <v>1</v>
      </c>
      <c r="D194" s="5">
        <f t="shared" si="30"/>
        <v>24.5</v>
      </c>
      <c r="E194" s="7">
        <f t="shared" si="30"/>
        <v>418</v>
      </c>
      <c r="F194" s="7">
        <f t="shared" si="30"/>
        <v>104500</v>
      </c>
      <c r="G194" s="7">
        <f t="shared" si="30"/>
        <v>12563</v>
      </c>
      <c r="H194" s="4">
        <f t="shared" si="30"/>
        <v>4</v>
      </c>
      <c r="J194" s="238">
        <f>'Minor Minerals'!C165</f>
        <v>1</v>
      </c>
      <c r="K194" s="238">
        <f>'Minor Minerals'!D165</f>
        <v>24.5</v>
      </c>
      <c r="L194" s="238">
        <f>'Minor Minerals'!E165</f>
        <v>418</v>
      </c>
      <c r="M194" s="238">
        <f>'Minor Minerals'!F165</f>
        <v>104500</v>
      </c>
      <c r="N194" s="238">
        <f>'Minor Minerals'!G165</f>
        <v>12563</v>
      </c>
      <c r="O194" s="238">
        <f>'Minor Minerals'!H165</f>
        <v>4</v>
      </c>
    </row>
    <row r="195" spans="1:15" ht="17.100000000000001" customHeight="1" x14ac:dyDescent="0.25">
      <c r="A195" s="36"/>
      <c r="B195" s="36"/>
      <c r="C195" s="36"/>
      <c r="D195" s="37"/>
      <c r="E195" s="38"/>
      <c r="F195" s="36"/>
      <c r="G195" s="38"/>
      <c r="H195" s="38"/>
      <c r="J195" s="128">
        <f>J194-C194</f>
        <v>0</v>
      </c>
      <c r="K195" s="128">
        <f t="shared" ref="K195:O195" si="31">K194-D194</f>
        <v>0</v>
      </c>
      <c r="L195" s="128">
        <f t="shared" si="31"/>
        <v>0</v>
      </c>
      <c r="M195" s="128">
        <f t="shared" si="31"/>
        <v>0</v>
      </c>
      <c r="N195" s="128">
        <f t="shared" si="31"/>
        <v>0</v>
      </c>
      <c r="O195" s="128">
        <f t="shared" si="31"/>
        <v>0</v>
      </c>
    </row>
    <row r="196" spans="1:15" ht="17.100000000000001" customHeight="1" x14ac:dyDescent="0.25">
      <c r="A196" s="1155" t="s">
        <v>59</v>
      </c>
      <c r="B196" s="1155"/>
      <c r="C196" s="1155"/>
      <c r="D196" s="1155"/>
      <c r="E196" s="1155"/>
      <c r="F196" s="1155"/>
      <c r="G196" s="1155"/>
      <c r="H196" s="1155"/>
    </row>
    <row r="197" spans="1:15" ht="17.100000000000001" customHeight="1" x14ac:dyDescent="0.25">
      <c r="A197" s="1122" t="s">
        <v>2</v>
      </c>
      <c r="B197" s="1124" t="s">
        <v>270</v>
      </c>
      <c r="C197" s="249" t="s">
        <v>4</v>
      </c>
      <c r="D197" s="249" t="s">
        <v>5</v>
      </c>
      <c r="E197" s="249" t="s">
        <v>6</v>
      </c>
      <c r="F197" s="249" t="s">
        <v>7</v>
      </c>
      <c r="G197" s="249" t="s">
        <v>8</v>
      </c>
      <c r="H197" s="249" t="s">
        <v>9</v>
      </c>
    </row>
    <row r="198" spans="1:15" ht="17.100000000000001" customHeight="1" x14ac:dyDescent="0.25">
      <c r="A198" s="1123"/>
      <c r="B198" s="1125"/>
      <c r="C198" s="2" t="s">
        <v>10</v>
      </c>
      <c r="D198" s="2" t="s">
        <v>52</v>
      </c>
      <c r="E198" s="2" t="s">
        <v>79</v>
      </c>
      <c r="F198" s="52" t="s">
        <v>80</v>
      </c>
      <c r="G198" s="52" t="s">
        <v>80</v>
      </c>
      <c r="H198" s="2" t="s">
        <v>13</v>
      </c>
    </row>
    <row r="199" spans="1:15" ht="17.100000000000001" customHeight="1" x14ac:dyDescent="0.25">
      <c r="A199" s="133">
        <v>1</v>
      </c>
      <c r="B199" s="546" t="s">
        <v>240</v>
      </c>
      <c r="C199" s="117">
        <f>Distt.Minor!C15</f>
        <v>7</v>
      </c>
      <c r="D199" s="117">
        <f>Distt.Minor!D15</f>
        <v>4981.5</v>
      </c>
      <c r="E199" s="117">
        <f>Distt.Minor!E15</f>
        <v>1076911</v>
      </c>
      <c r="F199" s="117">
        <f>Distt.Minor!F15</f>
        <v>600120832</v>
      </c>
      <c r="G199" s="117">
        <f>Distt.Minor!G15</f>
        <v>144502017</v>
      </c>
      <c r="H199" s="117">
        <f>Distt.Minor!H15</f>
        <v>317</v>
      </c>
    </row>
    <row r="200" spans="1:15" ht="17.100000000000001" customHeight="1" x14ac:dyDescent="0.25">
      <c r="A200" s="133">
        <v>2</v>
      </c>
      <c r="B200" s="546" t="s">
        <v>271</v>
      </c>
      <c r="C200" s="63">
        <f>Distt.Minor!C35</f>
        <v>0</v>
      </c>
      <c r="D200" s="63">
        <f>Distt.Minor!D35</f>
        <v>0</v>
      </c>
      <c r="E200" s="63">
        <f>Distt.Minor!E35</f>
        <v>0</v>
      </c>
      <c r="F200" s="63">
        <f>Distt.Minor!F35</f>
        <v>0</v>
      </c>
      <c r="G200" s="63">
        <f>Distt.Minor!G35</f>
        <v>0</v>
      </c>
      <c r="H200" s="63">
        <f>Distt.Minor!H35</f>
        <v>0</v>
      </c>
    </row>
    <row r="201" spans="1:15" ht="17.100000000000001" customHeight="1" x14ac:dyDescent="0.25">
      <c r="A201" s="133">
        <v>3</v>
      </c>
      <c r="B201" s="546" t="s">
        <v>242</v>
      </c>
      <c r="C201" s="141">
        <f>Distt.Minor!C50</f>
        <v>0</v>
      </c>
      <c r="D201" s="141">
        <f>Distt.Minor!D50</f>
        <v>0</v>
      </c>
      <c r="E201" s="141">
        <f>Distt.Minor!E50</f>
        <v>0</v>
      </c>
      <c r="F201" s="141">
        <f>Distt.Minor!F50</f>
        <v>0</v>
      </c>
      <c r="G201" s="141">
        <f>Distt.Minor!G50</f>
        <v>0</v>
      </c>
      <c r="H201" s="141">
        <f>Distt.Minor!H50</f>
        <v>0</v>
      </c>
    </row>
    <row r="202" spans="1:15" ht="17.100000000000001" customHeight="1" x14ac:dyDescent="0.25">
      <c r="A202" s="133">
        <v>4</v>
      </c>
      <c r="B202" s="546" t="s">
        <v>282</v>
      </c>
      <c r="C202" s="204">
        <f>Distt.Minor!C84</f>
        <v>3</v>
      </c>
      <c r="D202" s="204">
        <f>Distt.Minor!D84</f>
        <v>850.14</v>
      </c>
      <c r="E202" s="204">
        <f>Distt.Minor!E84</f>
        <v>88461.37</v>
      </c>
      <c r="F202" s="204">
        <f>Distt.Minor!F84</f>
        <v>48653753.5</v>
      </c>
      <c r="G202" s="204">
        <f>Distt.Minor!G84</f>
        <v>15923046.6</v>
      </c>
      <c r="H202" s="204">
        <f>Distt.Minor!H84</f>
        <v>50</v>
      </c>
    </row>
    <row r="203" spans="1:15" ht="17.100000000000001" customHeight="1" x14ac:dyDescent="0.25">
      <c r="A203" s="133">
        <v>5</v>
      </c>
      <c r="B203" s="546" t="s">
        <v>243</v>
      </c>
      <c r="C203" s="141">
        <f>Distt.Minor!C68</f>
        <v>5</v>
      </c>
      <c r="D203" s="141">
        <f>Distt.Minor!D68</f>
        <v>9351.14</v>
      </c>
      <c r="E203" s="141">
        <f>Distt.Minor!E68</f>
        <v>2256591</v>
      </c>
      <c r="F203" s="141">
        <f>Distt.Minor!F68</f>
        <v>1241125314</v>
      </c>
      <c r="G203" s="141">
        <f>Distt.Minor!G68</f>
        <v>140258580</v>
      </c>
      <c r="H203" s="141">
        <f>Distt.Minor!H68</f>
        <v>638</v>
      </c>
    </row>
    <row r="204" spans="1:15" ht="17.100000000000001" customHeight="1" x14ac:dyDescent="0.25">
      <c r="A204" s="133">
        <v>7</v>
      </c>
      <c r="B204" s="546" t="s">
        <v>245</v>
      </c>
      <c r="C204" s="117">
        <f>Distt.Minor!C117</f>
        <v>5</v>
      </c>
      <c r="D204" s="117">
        <f>Distt.Minor!D117</f>
        <v>4631.8500000000004</v>
      </c>
      <c r="E204" s="117">
        <f>Distt.Minor!E117</f>
        <v>4290844</v>
      </c>
      <c r="F204" s="117">
        <f>Distt.Minor!F117</f>
        <v>1549962675</v>
      </c>
      <c r="G204" s="117">
        <f>Distt.Minor!G117</f>
        <v>240781120</v>
      </c>
      <c r="H204" s="117">
        <f>Distt.Minor!H117</f>
        <v>350</v>
      </c>
    </row>
    <row r="205" spans="1:15" ht="17.100000000000001" customHeight="1" x14ac:dyDescent="0.25">
      <c r="A205" s="133">
        <v>8</v>
      </c>
      <c r="B205" s="546" t="s">
        <v>246</v>
      </c>
      <c r="C205" s="117">
        <f>Distt.Minor!C135</f>
        <v>103</v>
      </c>
      <c r="D205" s="117">
        <f>Distt.Minor!D135</f>
        <v>317.57</v>
      </c>
      <c r="E205" s="117">
        <f>Distt.Minor!E135</f>
        <v>2428131</v>
      </c>
      <c r="F205" s="117">
        <f>Distt.Minor!F135</f>
        <v>1335472050</v>
      </c>
      <c r="G205" s="117">
        <f>Distt.Minor!G135</f>
        <v>405703225</v>
      </c>
      <c r="H205" s="117">
        <f>Distt.Minor!H135</f>
        <v>515</v>
      </c>
    </row>
    <row r="206" spans="1:15" ht="17.100000000000001" customHeight="1" x14ac:dyDescent="0.25">
      <c r="A206" s="133">
        <v>9</v>
      </c>
      <c r="B206" s="546" t="s">
        <v>247</v>
      </c>
      <c r="C206" s="141">
        <f>Distt.Minor!C155</f>
        <v>1</v>
      </c>
      <c r="D206" s="141">
        <f>Distt.Minor!D155</f>
        <v>141.44999999999999</v>
      </c>
      <c r="E206" s="141">
        <f>Distt.Minor!E71</f>
        <v>0</v>
      </c>
      <c r="F206" s="117">
        <f>Distt.Minor!F119</f>
        <v>0</v>
      </c>
      <c r="G206" s="141">
        <f>Distt.Minor!G155</f>
        <v>0</v>
      </c>
      <c r="H206" s="141">
        <f>Distt.Minor!H155</f>
        <v>0</v>
      </c>
    </row>
    <row r="207" spans="1:15" ht="17.100000000000001" customHeight="1" x14ac:dyDescent="0.25">
      <c r="A207" s="133">
        <v>10</v>
      </c>
      <c r="B207" s="546" t="s">
        <v>248</v>
      </c>
      <c r="C207" s="117">
        <f>Distt.Minor!C168</f>
        <v>8</v>
      </c>
      <c r="D207" s="117">
        <f>Distt.Minor!D168</f>
        <v>1499.6499999999999</v>
      </c>
      <c r="E207" s="117">
        <f>Distt.Minor!E168</f>
        <v>461020</v>
      </c>
      <c r="F207" s="117">
        <f>Distt.Minor!F168</f>
        <v>253561000</v>
      </c>
      <c r="G207" s="117">
        <f>Distt.Minor!G168</f>
        <v>50865402</v>
      </c>
      <c r="H207" s="117">
        <f>Distt.Minor!H168</f>
        <v>77</v>
      </c>
    </row>
    <row r="208" spans="1:15" ht="17.100000000000001" customHeight="1" x14ac:dyDescent="0.25">
      <c r="A208" s="133">
        <v>11</v>
      </c>
      <c r="B208" s="546" t="s">
        <v>249</v>
      </c>
      <c r="C208" s="116">
        <f>Distt.Minor!C209</f>
        <v>2</v>
      </c>
      <c r="D208" s="116">
        <f>Distt.Minor!D209</f>
        <v>2787</v>
      </c>
      <c r="E208" s="116">
        <f>Distt.Minor!E209</f>
        <v>11356</v>
      </c>
      <c r="F208" s="116">
        <f>Distt.Minor!F209</f>
        <v>8517000</v>
      </c>
      <c r="G208" s="116">
        <f>Distt.Minor!G209</f>
        <v>8123235</v>
      </c>
      <c r="H208" s="116">
        <f>Distt.Minor!H209</f>
        <v>100</v>
      </c>
    </row>
    <row r="209" spans="1:8" ht="17.100000000000001" customHeight="1" x14ac:dyDescent="0.25">
      <c r="A209" s="133">
        <v>12</v>
      </c>
      <c r="B209" s="546" t="s">
        <v>285</v>
      </c>
      <c r="C209" s="141">
        <f>Distt.Minor!C227</f>
        <v>0</v>
      </c>
      <c r="D209" s="141">
        <f>Distt.Minor!D227</f>
        <v>0</v>
      </c>
      <c r="E209" s="141">
        <f>Distt.Minor!E227</f>
        <v>0</v>
      </c>
      <c r="F209" s="141">
        <f>Distt.Minor!F227</f>
        <v>0</v>
      </c>
      <c r="G209" s="141">
        <f>Distt.Minor!G227</f>
        <v>0</v>
      </c>
      <c r="H209" s="141">
        <f>Distt.Minor!H227</f>
        <v>0</v>
      </c>
    </row>
    <row r="210" spans="1:8" ht="17.100000000000001" customHeight="1" x14ac:dyDescent="0.25">
      <c r="A210" s="133">
        <v>14</v>
      </c>
      <c r="B210" s="546" t="s">
        <v>252</v>
      </c>
      <c r="C210" s="117">
        <f>Distt.Minor!C298</f>
        <v>1</v>
      </c>
      <c r="D210" s="117">
        <f>Distt.Minor!D298</f>
        <v>954.15</v>
      </c>
      <c r="E210" s="117">
        <f>Distt.Minor!E298</f>
        <v>98095</v>
      </c>
      <c r="F210" s="117">
        <f>Distt.Minor!F298</f>
        <v>73599059</v>
      </c>
      <c r="G210" s="117">
        <f>Distt.Minor!G298</f>
        <v>10566166</v>
      </c>
      <c r="H210" s="117">
        <f>Distt.Minor!H298</f>
        <v>370</v>
      </c>
    </row>
    <row r="211" spans="1:8" ht="17.100000000000001" customHeight="1" x14ac:dyDescent="0.25">
      <c r="A211" s="133">
        <v>15</v>
      </c>
      <c r="B211" s="546" t="s">
        <v>272</v>
      </c>
      <c r="C211" s="117">
        <f>Distt.Minor!C270</f>
        <v>2</v>
      </c>
      <c r="D211" s="117">
        <f>Distt.Minor!D270</f>
        <v>72</v>
      </c>
      <c r="E211" s="117">
        <f>Distt.Minor!E270</f>
        <v>0</v>
      </c>
      <c r="F211" s="117">
        <f>Distt.Minor!F270</f>
        <v>0</v>
      </c>
      <c r="G211" s="117">
        <f>Distt.Minor!G270</f>
        <v>0</v>
      </c>
      <c r="H211" s="117">
        <f>Distt.Minor!H270</f>
        <v>0</v>
      </c>
    </row>
    <row r="212" spans="1:8" ht="17.100000000000001" customHeight="1" x14ac:dyDescent="0.25">
      <c r="A212" s="133">
        <v>16</v>
      </c>
      <c r="B212" s="546" t="s">
        <v>255</v>
      </c>
      <c r="C212" s="141">
        <f>Distt.Minor!C310</f>
        <v>0</v>
      </c>
      <c r="D212" s="141">
        <f>Distt.Minor!D310</f>
        <v>0</v>
      </c>
      <c r="E212" s="141">
        <f>Distt.Minor!E310</f>
        <v>0</v>
      </c>
      <c r="F212" s="141">
        <f>Distt.Minor!F310</f>
        <v>0</v>
      </c>
      <c r="G212" s="141">
        <f>Distt.Minor!G310</f>
        <v>0</v>
      </c>
      <c r="H212" s="141">
        <f>Distt.Minor!H310</f>
        <v>0</v>
      </c>
    </row>
    <row r="213" spans="1:8" ht="17.100000000000001" customHeight="1" x14ac:dyDescent="0.25">
      <c r="A213" s="133">
        <v>17</v>
      </c>
      <c r="B213" s="546" t="s">
        <v>286</v>
      </c>
      <c r="C213" s="215">
        <f>Distt.Minor!C328</f>
        <v>2</v>
      </c>
      <c r="D213" s="215">
        <f>Distt.Minor!D328</f>
        <v>2874.9</v>
      </c>
      <c r="E213" s="215">
        <f>Distt.Minor!E328</f>
        <v>266930</v>
      </c>
      <c r="F213" s="215">
        <f>Distt.Minor!F328</f>
        <v>146811500</v>
      </c>
      <c r="G213" s="215">
        <f>Distt.Minor!G328</f>
        <v>12011850</v>
      </c>
      <c r="H213" s="215">
        <f>Distt.Minor!H328</f>
        <v>40</v>
      </c>
    </row>
    <row r="214" spans="1:8" ht="17.100000000000001" customHeight="1" x14ac:dyDescent="0.25">
      <c r="A214" s="133">
        <v>18</v>
      </c>
      <c r="B214" s="546" t="s">
        <v>256</v>
      </c>
      <c r="C214" s="189">
        <f>Distt.Minor!C343</f>
        <v>1</v>
      </c>
      <c r="D214" s="189">
        <f>Distt.Minor!D343</f>
        <v>0</v>
      </c>
      <c r="E214" s="189">
        <f>Distt.Minor!E343</f>
        <v>471253</v>
      </c>
      <c r="F214" s="189">
        <f>Distt.Minor!F343</f>
        <v>259189150</v>
      </c>
      <c r="G214" s="189">
        <f>Distt.Minor!G343</f>
        <v>26509000</v>
      </c>
      <c r="H214" s="189">
        <f>Distt.Minor!H343</f>
        <v>18</v>
      </c>
    </row>
    <row r="215" spans="1:8" ht="17.100000000000001" customHeight="1" x14ac:dyDescent="0.25">
      <c r="A215" s="133">
        <v>19</v>
      </c>
      <c r="B215" s="546" t="s">
        <v>257</v>
      </c>
      <c r="C215" s="116">
        <f>Distt.Minor!C365</f>
        <v>4</v>
      </c>
      <c r="D215" s="116">
        <f>Distt.Minor!D365</f>
        <v>7297.96</v>
      </c>
      <c r="E215" s="116">
        <f>Distt.Minor!E365</f>
        <v>468760</v>
      </c>
      <c r="F215" s="116">
        <f>Distt.Minor!F365</f>
        <v>164066136</v>
      </c>
      <c r="G215" s="116">
        <f>Distt.Minor!G365</f>
        <v>43400000</v>
      </c>
      <c r="H215" s="116">
        <f>Distt.Minor!H365</f>
        <v>35</v>
      </c>
    </row>
    <row r="216" spans="1:8" ht="17.100000000000001" customHeight="1" x14ac:dyDescent="0.25">
      <c r="A216" s="133">
        <v>20</v>
      </c>
      <c r="B216" s="546" t="s">
        <v>273</v>
      </c>
      <c r="C216" s="117">
        <f>Distt.Minor!C379</f>
        <v>0</v>
      </c>
      <c r="D216" s="117">
        <f>Distt.Minor!D379</f>
        <v>0</v>
      </c>
      <c r="E216" s="117">
        <f>Distt.Minor!E379</f>
        <v>0</v>
      </c>
      <c r="F216" s="117">
        <f>Distt.Minor!F379</f>
        <v>0</v>
      </c>
      <c r="G216" s="117">
        <f>Distt.Minor!G379</f>
        <v>0</v>
      </c>
      <c r="H216" s="117">
        <f>Distt.Minor!H379</f>
        <v>0</v>
      </c>
    </row>
    <row r="217" spans="1:8" ht="17.100000000000001" customHeight="1" x14ac:dyDescent="0.25">
      <c r="A217" s="133">
        <v>21</v>
      </c>
      <c r="B217" s="546" t="s">
        <v>274</v>
      </c>
      <c r="C217" s="117">
        <f>Distt.Minor!C395</f>
        <v>2</v>
      </c>
      <c r="D217" s="117">
        <f>Distt.Minor!D395</f>
        <v>341.45</v>
      </c>
      <c r="E217" s="117">
        <f>Distt.Minor!E395</f>
        <v>252668</v>
      </c>
      <c r="F217" s="117">
        <f>Distt.Minor!F395</f>
        <v>138967876</v>
      </c>
      <c r="G217" s="117">
        <f>Distt.Minor!G395</f>
        <v>11370099</v>
      </c>
      <c r="H217" s="117">
        <f>Distt.Minor!H395</f>
        <v>150</v>
      </c>
    </row>
    <row r="218" spans="1:8" ht="17.100000000000001" customHeight="1" x14ac:dyDescent="0.25">
      <c r="A218" s="133">
        <v>22</v>
      </c>
      <c r="B218" s="546" t="s">
        <v>259</v>
      </c>
      <c r="C218" s="117">
        <f>Distt.Minor!C411</f>
        <v>3</v>
      </c>
      <c r="D218" s="117">
        <f>Distt.Minor!D411</f>
        <v>505.56</v>
      </c>
      <c r="E218" s="117">
        <f>Distt.Minor!E411</f>
        <v>358594</v>
      </c>
      <c r="F218" s="117">
        <f>Distt.Minor!F411</f>
        <v>283935907</v>
      </c>
      <c r="G218" s="117">
        <f>Distt.Minor!G411</f>
        <v>15856617</v>
      </c>
      <c r="H218" s="117">
        <f>Distt.Minor!H411</f>
        <v>245</v>
      </c>
    </row>
    <row r="219" spans="1:8" ht="17.100000000000001" customHeight="1" x14ac:dyDescent="0.25">
      <c r="A219" s="133">
        <v>23</v>
      </c>
      <c r="B219" s="546" t="s">
        <v>260</v>
      </c>
      <c r="C219" s="117">
        <f>Distt.Minor!C431</f>
        <v>5</v>
      </c>
      <c r="D219" s="117">
        <f>Distt.Minor!D431</f>
        <v>19484</v>
      </c>
      <c r="E219" s="117">
        <f>Distt.Minor!E431</f>
        <v>1278423</v>
      </c>
      <c r="F219" s="117">
        <f>Distt.Minor!F431</f>
        <v>703133029</v>
      </c>
      <c r="G219" s="117">
        <f>Distt.Minor!G431</f>
        <v>94893323</v>
      </c>
      <c r="H219" s="117">
        <f>Distt.Minor!H431</f>
        <v>150</v>
      </c>
    </row>
    <row r="220" spans="1:8" ht="17.100000000000001" customHeight="1" x14ac:dyDescent="0.25">
      <c r="A220" s="133">
        <v>24</v>
      </c>
      <c r="B220" s="546" t="s">
        <v>261</v>
      </c>
      <c r="C220" s="141">
        <f>Distt.Minor!C449</f>
        <v>0</v>
      </c>
      <c r="D220" s="141">
        <f>Distt.Minor!D449</f>
        <v>0</v>
      </c>
      <c r="E220" s="141">
        <f>Distt.Minor!E449</f>
        <v>0</v>
      </c>
      <c r="F220" s="141">
        <f>Distt.Minor!F449</f>
        <v>0</v>
      </c>
      <c r="G220" s="141">
        <f>Distt.Minor!G449</f>
        <v>0</v>
      </c>
      <c r="H220" s="141">
        <f>Distt.Minor!H449</f>
        <v>0</v>
      </c>
    </row>
    <row r="221" spans="1:8" ht="17.100000000000001" customHeight="1" x14ac:dyDescent="0.25">
      <c r="A221" s="133">
        <v>25</v>
      </c>
      <c r="B221" s="188" t="s">
        <v>275</v>
      </c>
      <c r="C221" s="141">
        <f>Distt.Minor!C470</f>
        <v>4</v>
      </c>
      <c r="D221" s="141">
        <f>Distt.Minor!D470</f>
        <v>1978.8088</v>
      </c>
      <c r="E221" s="141">
        <f>Distt.Minor!E470</f>
        <v>171426.11111111112</v>
      </c>
      <c r="F221" s="141">
        <f>Distt.Minor!F470</f>
        <v>94284361.111111119</v>
      </c>
      <c r="G221" s="141">
        <f>Distt.Minor!G470</f>
        <v>9471175</v>
      </c>
      <c r="H221" s="141">
        <f>Distt.Minor!H470</f>
        <v>150</v>
      </c>
    </row>
    <row r="222" spans="1:8" ht="17.100000000000001" customHeight="1" x14ac:dyDescent="0.25">
      <c r="A222" s="133">
        <v>26</v>
      </c>
      <c r="B222" s="547" t="s">
        <v>276</v>
      </c>
      <c r="C222" s="205">
        <f>Distt.Minor!C490</f>
        <v>2</v>
      </c>
      <c r="D222" s="205">
        <f>Distt.Minor!D490</f>
        <v>1081.05</v>
      </c>
      <c r="E222" s="205">
        <f>Distt.Minor!E490</f>
        <v>2077748</v>
      </c>
      <c r="F222" s="205">
        <f>Distt.Minor!F490</f>
        <v>1142761681</v>
      </c>
      <c r="G222" s="205">
        <f>Distt.Minor!G490</f>
        <v>137110910</v>
      </c>
      <c r="H222" s="205">
        <f>Distt.Minor!H490</f>
        <v>350</v>
      </c>
    </row>
    <row r="223" spans="1:8" ht="17.100000000000001" customHeight="1" x14ac:dyDescent="0.25">
      <c r="A223" s="133">
        <v>28</v>
      </c>
      <c r="B223" s="546" t="s">
        <v>264</v>
      </c>
      <c r="C223" s="141">
        <f>Distt.Minor!C518</f>
        <v>0</v>
      </c>
      <c r="D223" s="141">
        <f>Distt.Minor!D518</f>
        <v>0</v>
      </c>
      <c r="E223" s="141">
        <f>Distt.Minor!E518</f>
        <v>0</v>
      </c>
      <c r="F223" s="141">
        <f>Distt.Minor!F518</f>
        <v>0</v>
      </c>
      <c r="G223" s="141">
        <f>Distt.Minor!G518</f>
        <v>0</v>
      </c>
      <c r="H223" s="141">
        <f>Distt.Minor!H518</f>
        <v>0</v>
      </c>
    </row>
    <row r="224" spans="1:8" ht="17.100000000000001" customHeight="1" x14ac:dyDescent="0.25">
      <c r="A224" s="133">
        <v>29</v>
      </c>
      <c r="B224" s="546" t="s">
        <v>265</v>
      </c>
      <c r="C224" s="204">
        <f>Distt.Minor!C541</f>
        <v>1</v>
      </c>
      <c r="D224" s="204">
        <f>Distt.Minor!D541</f>
        <v>2526.88</v>
      </c>
      <c r="E224" s="204">
        <f>Distt.Minor!E541</f>
        <v>674152</v>
      </c>
      <c r="F224" s="204">
        <f>Distt.Minor!F541</f>
        <v>303368279</v>
      </c>
      <c r="G224" s="204">
        <f>Distt.Minor!G541</f>
        <v>107043126</v>
      </c>
      <c r="H224" s="204">
        <f>Distt.Minor!H541</f>
        <v>550</v>
      </c>
    </row>
    <row r="225" spans="1:15" ht="17.100000000000001" customHeight="1" x14ac:dyDescent="0.25">
      <c r="A225" s="133">
        <v>30</v>
      </c>
      <c r="B225" s="546" t="s">
        <v>278</v>
      </c>
      <c r="C225" s="141">
        <f>Distt.Minor!C558</f>
        <v>5</v>
      </c>
      <c r="D225" s="141">
        <f>Distt.Minor!D558</f>
        <v>3878.29</v>
      </c>
      <c r="E225" s="141">
        <f>Distt.Minor!E558</f>
        <v>8198010</v>
      </c>
      <c r="F225" s="141">
        <f>Distt.Minor!F558</f>
        <v>4508905500</v>
      </c>
      <c r="G225" s="141">
        <f>Distt.Minor!G558</f>
        <v>409900480</v>
      </c>
      <c r="H225" s="141">
        <f>Distt.Minor!H558</f>
        <v>150</v>
      </c>
    </row>
    <row r="226" spans="1:15" ht="17.100000000000001" customHeight="1" x14ac:dyDescent="0.25">
      <c r="A226" s="133">
        <v>31</v>
      </c>
      <c r="B226" s="546" t="s">
        <v>267</v>
      </c>
      <c r="C226" s="143">
        <f>Distt.Minor!C578</f>
        <v>0</v>
      </c>
      <c r="D226" s="143">
        <f>Distt.Minor!D578</f>
        <v>0</v>
      </c>
      <c r="E226" s="143">
        <f>Distt.Minor!E578</f>
        <v>0</v>
      </c>
      <c r="F226" s="143">
        <f>Distt.Minor!F578</f>
        <v>0</v>
      </c>
      <c r="G226" s="143">
        <f>Distt.Minor!G578</f>
        <v>0</v>
      </c>
      <c r="H226" s="143">
        <f>Distt.Minor!H578</f>
        <v>0</v>
      </c>
    </row>
    <row r="227" spans="1:15" ht="17.100000000000001" customHeight="1" x14ac:dyDescent="0.25">
      <c r="A227" s="35"/>
      <c r="B227" s="35" t="s">
        <v>50</v>
      </c>
      <c r="C227" s="35">
        <f>SUM(C199:C226)</f>
        <v>166</v>
      </c>
      <c r="D227" s="34">
        <f t="shared" ref="D227:H227" si="32">SUM(D199:D226)</f>
        <v>65555.348799999992</v>
      </c>
      <c r="E227" s="33">
        <f t="shared" si="32"/>
        <v>24929373.481111113</v>
      </c>
      <c r="F227" s="35">
        <f t="shared" si="32"/>
        <v>12856435102.611111</v>
      </c>
      <c r="G227" s="35">
        <f>SUM(G199:G226)</f>
        <v>1884289371.5999999</v>
      </c>
      <c r="H227" s="33">
        <f t="shared" si="32"/>
        <v>4255</v>
      </c>
      <c r="J227" s="650">
        <f>'Minor Minerals'!C267</f>
        <v>166</v>
      </c>
      <c r="K227" s="650">
        <f>'Minor Minerals'!D267</f>
        <v>65555.348799999992</v>
      </c>
      <c r="L227" s="650">
        <f>'Minor Minerals'!E267</f>
        <v>24929373.481111109</v>
      </c>
      <c r="M227" s="650">
        <f>'Minor Minerals'!F267</f>
        <v>12856435102.611111</v>
      </c>
      <c r="N227" s="650">
        <f>'Minor Minerals'!G267</f>
        <v>1884289371.5999999</v>
      </c>
      <c r="O227" s="650">
        <f>'Minor Minerals'!H267</f>
        <v>4255</v>
      </c>
    </row>
    <row r="228" spans="1:15" ht="17.100000000000001" customHeight="1" x14ac:dyDescent="0.25">
      <c r="A228" s="39"/>
      <c r="B228" s="39"/>
      <c r="C228" s="36"/>
      <c r="D228" s="37"/>
      <c r="E228" s="38"/>
      <c r="F228" s="36"/>
      <c r="G228" s="38"/>
      <c r="H228" s="38"/>
      <c r="J228" s="123">
        <f t="shared" ref="J228:O228" si="33">J227-C227</f>
        <v>0</v>
      </c>
      <c r="K228" s="709">
        <f t="shared" si="33"/>
        <v>0</v>
      </c>
      <c r="L228" s="128">
        <f t="shared" si="33"/>
        <v>0</v>
      </c>
      <c r="M228" s="123">
        <f t="shared" si="33"/>
        <v>0</v>
      </c>
      <c r="N228" s="123">
        <f t="shared" si="33"/>
        <v>0</v>
      </c>
      <c r="O228" s="128">
        <f t="shared" si="33"/>
        <v>0</v>
      </c>
    </row>
    <row r="229" spans="1:15" ht="17.100000000000001" customHeight="1" x14ac:dyDescent="0.25">
      <c r="A229" s="39"/>
      <c r="B229" s="39"/>
      <c r="C229" s="36"/>
      <c r="D229" s="37"/>
      <c r="E229" s="38"/>
      <c r="F229" s="36"/>
      <c r="G229" s="38"/>
      <c r="H229" s="38"/>
    </row>
    <row r="230" spans="1:15" ht="17.100000000000001" customHeight="1" x14ac:dyDescent="0.25">
      <c r="A230" s="1155" t="s">
        <v>60</v>
      </c>
      <c r="B230" s="1155"/>
      <c r="C230" s="1155"/>
      <c r="D230" s="1155"/>
      <c r="E230" s="1155"/>
      <c r="F230" s="1155"/>
      <c r="G230" s="1155"/>
      <c r="H230" s="1155"/>
    </row>
    <row r="231" spans="1:15" ht="17.100000000000001" customHeight="1" x14ac:dyDescent="0.25">
      <c r="A231" s="1122" t="s">
        <v>2</v>
      </c>
      <c r="B231" s="1124" t="s">
        <v>270</v>
      </c>
      <c r="C231" s="249" t="s">
        <v>4</v>
      </c>
      <c r="D231" s="249" t="s">
        <v>5</v>
      </c>
      <c r="E231" s="249" t="s">
        <v>6</v>
      </c>
      <c r="F231" s="249" t="s">
        <v>7</v>
      </c>
      <c r="G231" s="249" t="s">
        <v>8</v>
      </c>
      <c r="H231" s="249" t="s">
        <v>9</v>
      </c>
    </row>
    <row r="232" spans="1:15" ht="17.100000000000001" customHeight="1" x14ac:dyDescent="0.25">
      <c r="A232" s="1123"/>
      <c r="B232" s="1125"/>
      <c r="C232" s="2" t="s">
        <v>10</v>
      </c>
      <c r="D232" s="2" t="s">
        <v>52</v>
      </c>
      <c r="E232" s="2" t="s">
        <v>79</v>
      </c>
      <c r="F232" s="52" t="s">
        <v>80</v>
      </c>
      <c r="G232" s="52" t="s">
        <v>80</v>
      </c>
      <c r="H232" s="2" t="s">
        <v>13</v>
      </c>
    </row>
    <row r="233" spans="1:15" ht="17.100000000000001" customHeight="1" x14ac:dyDescent="0.25">
      <c r="A233" s="133">
        <v>1</v>
      </c>
      <c r="B233" s="188" t="s">
        <v>242</v>
      </c>
      <c r="C233" s="141">
        <f>Distt.Minor!C48</f>
        <v>3</v>
      </c>
      <c r="D233" s="141">
        <f>Distt.Minor!D48</f>
        <v>3.86</v>
      </c>
      <c r="E233" s="141">
        <f>Distt.Minor!E48</f>
        <v>2616</v>
      </c>
      <c r="F233" s="141">
        <f>Distt.Minor!F48</f>
        <v>928722</v>
      </c>
      <c r="G233" s="141">
        <f>Distt.Minor!G48</f>
        <v>379337</v>
      </c>
      <c r="H233" s="141">
        <f>Distt.Minor!H48</f>
        <v>10</v>
      </c>
    </row>
    <row r="234" spans="1:15" ht="17.100000000000001" customHeight="1" x14ac:dyDescent="0.25">
      <c r="A234" s="133">
        <v>2</v>
      </c>
      <c r="B234" s="188" t="s">
        <v>271</v>
      </c>
      <c r="C234" s="141">
        <f>Distt.Minor!C32</f>
        <v>8</v>
      </c>
      <c r="D234" s="141">
        <f>Distt.Minor!D32</f>
        <v>22.67</v>
      </c>
      <c r="E234" s="141">
        <f>Distt.Minor!E32</f>
        <v>108549</v>
      </c>
      <c r="F234" s="141">
        <f>Distt.Minor!F32</f>
        <v>37992269</v>
      </c>
      <c r="G234" s="141">
        <f>Distt.Minor!G32</f>
        <v>15739654</v>
      </c>
      <c r="H234" s="141">
        <f>Distt.Minor!H32</f>
        <v>1000</v>
      </c>
    </row>
    <row r="235" spans="1:15" ht="17.100000000000001" customHeight="1" x14ac:dyDescent="0.25">
      <c r="A235" s="133">
        <v>3</v>
      </c>
      <c r="B235" s="188" t="s">
        <v>245</v>
      </c>
      <c r="C235" s="141">
        <f>Distt.Minor!C112</f>
        <v>5</v>
      </c>
      <c r="D235" s="141">
        <f>Distt.Minor!D112</f>
        <v>4.0599999999999996</v>
      </c>
      <c r="E235" s="141">
        <f>Distt.Minor!E112</f>
        <v>89052</v>
      </c>
      <c r="F235" s="141">
        <f>Distt.Minor!F112</f>
        <v>31168200</v>
      </c>
      <c r="G235" s="141">
        <f>Distt.Minor!G112</f>
        <v>12647284</v>
      </c>
      <c r="H235" s="141">
        <f>Distt.Minor!H112</f>
        <v>20</v>
      </c>
    </row>
    <row r="236" spans="1:15" ht="17.100000000000001" customHeight="1" x14ac:dyDescent="0.25">
      <c r="A236" s="133">
        <v>4</v>
      </c>
      <c r="B236" s="188" t="s">
        <v>246</v>
      </c>
      <c r="C236" s="117">
        <f>Distt.Minor!C137</f>
        <v>12</v>
      </c>
      <c r="D236" s="117">
        <f>Distt.Minor!D137</f>
        <v>48.79</v>
      </c>
      <c r="E236" s="117">
        <f>Distt.Minor!E137</f>
        <v>301471</v>
      </c>
      <c r="F236" s="117">
        <f>Distt.Minor!F137</f>
        <v>105514850</v>
      </c>
      <c r="G236" s="117">
        <f>Distt.Minor!G137</f>
        <v>3902453</v>
      </c>
      <c r="H236" s="117">
        <f>Distt.Minor!H137</f>
        <v>72</v>
      </c>
    </row>
    <row r="237" spans="1:15" ht="17.100000000000001" customHeight="1" x14ac:dyDescent="0.25">
      <c r="A237" s="133">
        <v>5</v>
      </c>
      <c r="B237" s="188" t="s">
        <v>283</v>
      </c>
      <c r="C237" s="190">
        <f>Distt.Minor!C154</f>
        <v>9</v>
      </c>
      <c r="D237" s="190">
        <f>Distt.Minor!D154</f>
        <v>19.799999999999997</v>
      </c>
      <c r="E237" s="190">
        <f>Distt.Minor!E154</f>
        <v>25836.99</v>
      </c>
      <c r="F237" s="190">
        <f>Distt.Minor!F154</f>
        <v>10003243</v>
      </c>
      <c r="G237" s="190">
        <f>Distt.Minor!G154</f>
        <v>3660143</v>
      </c>
      <c r="H237" s="190">
        <f>Distt.Minor!H154</f>
        <v>45</v>
      </c>
    </row>
    <row r="238" spans="1:15" ht="17.100000000000001" customHeight="1" x14ac:dyDescent="0.25">
      <c r="A238" s="133">
        <v>6</v>
      </c>
      <c r="B238" s="188" t="s">
        <v>248</v>
      </c>
      <c r="C238" s="190">
        <f>Distt.Minor!C166</f>
        <v>2</v>
      </c>
      <c r="D238" s="190">
        <f>Distt.Minor!D166</f>
        <v>120</v>
      </c>
      <c r="E238" s="190">
        <f>Distt.Minor!E166</f>
        <v>26112</v>
      </c>
      <c r="F238" s="190">
        <f>Distt.Minor!F166</f>
        <v>9139228</v>
      </c>
      <c r="G238" s="190">
        <f>Distt.Minor!G166</f>
        <v>3789790</v>
      </c>
      <c r="H238" s="190">
        <f>Distt.Minor!H166</f>
        <v>500</v>
      </c>
    </row>
    <row r="239" spans="1:15" ht="17.100000000000001" customHeight="1" x14ac:dyDescent="0.25">
      <c r="A239" s="133">
        <v>7</v>
      </c>
      <c r="B239" s="188" t="s">
        <v>252</v>
      </c>
      <c r="C239" s="141">
        <f>Distt.Minor!C285</f>
        <v>4</v>
      </c>
      <c r="D239" s="141">
        <f>Distt.Minor!D285</f>
        <v>11</v>
      </c>
      <c r="E239" s="141">
        <f>Distt.Minor!E285</f>
        <v>0</v>
      </c>
      <c r="F239" s="141">
        <f>Distt.Minor!F285</f>
        <v>0</v>
      </c>
      <c r="G239" s="141">
        <f>Distt.Minor!G285</f>
        <v>0</v>
      </c>
      <c r="H239" s="141">
        <f>Distt.Minor!H285</f>
        <v>0</v>
      </c>
    </row>
    <row r="240" spans="1:15" ht="17.100000000000001" customHeight="1" x14ac:dyDescent="0.25">
      <c r="A240" s="133">
        <v>8</v>
      </c>
      <c r="B240" s="188" t="s">
        <v>286</v>
      </c>
      <c r="C240" s="189">
        <f>Distt.Minor!C327</f>
        <v>0</v>
      </c>
      <c r="D240" s="189">
        <f>Distt.Minor!D327</f>
        <v>0</v>
      </c>
      <c r="E240" s="189">
        <f>Distt.Minor!E327</f>
        <v>0</v>
      </c>
      <c r="F240" s="189">
        <f>Distt.Minor!F327</f>
        <v>0</v>
      </c>
      <c r="G240" s="189">
        <f>Distt.Minor!G327</f>
        <v>0</v>
      </c>
      <c r="H240" s="189">
        <f>Distt.Minor!H327</f>
        <v>0</v>
      </c>
    </row>
    <row r="241" spans="1:15" ht="17.100000000000001" customHeight="1" x14ac:dyDescent="0.25">
      <c r="A241" s="133">
        <v>9</v>
      </c>
      <c r="B241" s="188" t="s">
        <v>420</v>
      </c>
      <c r="C241" s="116">
        <f>Distt.Minor!C338</f>
        <v>1</v>
      </c>
      <c r="D241" s="116">
        <f>Distt.Minor!D338</f>
        <v>4.83</v>
      </c>
      <c r="E241" s="116">
        <f>Distt.Minor!E338</f>
        <v>612</v>
      </c>
      <c r="F241" s="116">
        <f>Distt.Minor!F338</f>
        <v>214285</v>
      </c>
      <c r="G241" s="116">
        <f>Distt.Minor!G338</f>
        <v>60000</v>
      </c>
      <c r="H241" s="116">
        <f>Distt.Minor!H338</f>
        <v>40</v>
      </c>
    </row>
    <row r="242" spans="1:15" ht="17.100000000000001" customHeight="1" x14ac:dyDescent="0.25">
      <c r="A242" s="133">
        <v>10</v>
      </c>
      <c r="B242" s="188" t="s">
        <v>257</v>
      </c>
      <c r="C242" s="117">
        <f>Distt.Minor!C357</f>
        <v>98</v>
      </c>
      <c r="D242" s="117">
        <f>Distt.Minor!D357</f>
        <v>1317.71</v>
      </c>
      <c r="E242" s="117">
        <f>Distt.Minor!E357</f>
        <v>4282588</v>
      </c>
      <c r="F242" s="117">
        <f>Distt.Minor!F357</f>
        <v>1498905937</v>
      </c>
      <c r="G242" s="117">
        <f>Distt.Minor!G357</f>
        <v>466854000</v>
      </c>
      <c r="H242" s="117">
        <f>Distt.Minor!H357</f>
        <v>599</v>
      </c>
    </row>
    <row r="243" spans="1:15" ht="17.100000000000001" customHeight="1" x14ac:dyDescent="0.25">
      <c r="A243" s="133">
        <v>11</v>
      </c>
      <c r="B243" s="188" t="s">
        <v>274</v>
      </c>
      <c r="C243" s="117">
        <f>Distt.Minor!C397</f>
        <v>34</v>
      </c>
      <c r="D243" s="117">
        <f>Distt.Minor!D397</f>
        <v>1265.1300000000001</v>
      </c>
      <c r="E243" s="117">
        <f>Distt.Minor!E397</f>
        <v>2526730</v>
      </c>
      <c r="F243" s="117">
        <f>Distt.Minor!F397</f>
        <v>909622792</v>
      </c>
      <c r="G243" s="117">
        <f>Distt.Minor!G397</f>
        <v>111760719</v>
      </c>
      <c r="H243" s="117">
        <f>Distt.Minor!H397</f>
        <v>100</v>
      </c>
    </row>
    <row r="244" spans="1:15" ht="17.100000000000001" customHeight="1" x14ac:dyDescent="0.25">
      <c r="A244" s="133">
        <v>12</v>
      </c>
      <c r="B244" s="188" t="s">
        <v>259</v>
      </c>
      <c r="C244" s="117">
        <f>Distt.Minor!C405</f>
        <v>206</v>
      </c>
      <c r="D244" s="117">
        <f>Distt.Minor!D405</f>
        <v>6245.01</v>
      </c>
      <c r="E244" s="117">
        <f>Distt.Minor!E405</f>
        <v>8224122</v>
      </c>
      <c r="F244" s="117">
        <f>Distt.Minor!F405</f>
        <v>3035993668</v>
      </c>
      <c r="G244" s="117">
        <f>Distt.Minor!G405</f>
        <v>953349813</v>
      </c>
      <c r="H244" s="117">
        <f>Distt.Minor!H405</f>
        <v>1185</v>
      </c>
    </row>
    <row r="245" spans="1:15" ht="17.100000000000001" customHeight="1" x14ac:dyDescent="0.25">
      <c r="A245" s="133">
        <v>13</v>
      </c>
      <c r="B245" s="192" t="s">
        <v>261</v>
      </c>
      <c r="C245" s="141">
        <f>Distt.Minor!C446</f>
        <v>7</v>
      </c>
      <c r="D245" s="141">
        <f>Distt.Minor!D446</f>
        <v>6.48</v>
      </c>
      <c r="E245" s="141">
        <f>Distt.Minor!E446</f>
        <v>40.94</v>
      </c>
      <c r="F245" s="141">
        <f>Distt.Minor!F446</f>
        <v>14329</v>
      </c>
      <c r="G245" s="141">
        <f>Distt.Minor!G446</f>
        <v>4012.12</v>
      </c>
      <c r="H245" s="141">
        <f>Distt.Minor!H446</f>
        <v>10</v>
      </c>
    </row>
    <row r="246" spans="1:15" ht="17.100000000000001" customHeight="1" x14ac:dyDescent="0.25">
      <c r="A246" s="133">
        <v>14</v>
      </c>
      <c r="B246" s="188" t="s">
        <v>260</v>
      </c>
      <c r="C246" s="218">
        <f>Distt.Minor!C425</f>
        <v>50</v>
      </c>
      <c r="D246" s="233">
        <f>Distt.Minor!D425</f>
        <v>2057.9100000000003</v>
      </c>
      <c r="E246" s="224">
        <f>Distt.Minor!E425</f>
        <v>1841715</v>
      </c>
      <c r="F246" s="224">
        <f>Distt.Minor!F425</f>
        <v>662599502</v>
      </c>
      <c r="G246" s="224">
        <f>Distt.Minor!G425</f>
        <v>222883116</v>
      </c>
      <c r="H246" s="224">
        <f>Distt.Minor!H425</f>
        <v>764</v>
      </c>
    </row>
    <row r="247" spans="1:15" ht="17.100000000000001" customHeight="1" x14ac:dyDescent="0.25">
      <c r="A247" s="133">
        <v>15</v>
      </c>
      <c r="B247" s="188" t="s">
        <v>265</v>
      </c>
      <c r="C247" s="116">
        <f>Distt.Minor!C538</f>
        <v>5</v>
      </c>
      <c r="D247" s="116">
        <f>Distt.Minor!D538</f>
        <v>8.2200000000000006</v>
      </c>
      <c r="E247" s="116">
        <f>Distt.Minor!E538</f>
        <v>6320</v>
      </c>
      <c r="F247" s="116">
        <f>Distt.Minor!F538</f>
        <v>2212343</v>
      </c>
      <c r="G247" s="116">
        <f>Distt.Minor!G538</f>
        <v>644740</v>
      </c>
      <c r="H247" s="116">
        <f>Distt.Minor!H538</f>
        <v>220</v>
      </c>
    </row>
    <row r="248" spans="1:15" ht="17.100000000000001" customHeight="1" x14ac:dyDescent="0.25">
      <c r="A248" s="133">
        <v>16</v>
      </c>
      <c r="B248" s="188" t="s">
        <v>267</v>
      </c>
      <c r="C248" s="190">
        <f>Distt.Minor!C575</f>
        <v>29</v>
      </c>
      <c r="D248" s="190">
        <f>Distt.Minor!D575</f>
        <v>29.38</v>
      </c>
      <c r="E248" s="190">
        <f>Distt.Minor!E575</f>
        <v>220487</v>
      </c>
      <c r="F248" s="190">
        <f>Distt.Minor!F575</f>
        <v>77170450</v>
      </c>
      <c r="G248" s="190">
        <f>Distt.Minor!G575</f>
        <v>2081350</v>
      </c>
      <c r="H248" s="190">
        <f>Distt.Minor!H575</f>
        <v>225</v>
      </c>
    </row>
    <row r="249" spans="1:15" ht="17.100000000000001" customHeight="1" x14ac:dyDescent="0.25">
      <c r="A249" s="1300" t="s">
        <v>50</v>
      </c>
      <c r="B249" s="1301"/>
      <c r="C249" s="35">
        <f t="shared" ref="C249:H249" si="34">SUM(C233:C248)</f>
        <v>473</v>
      </c>
      <c r="D249" s="34">
        <f t="shared" si="34"/>
        <v>11164.849999999999</v>
      </c>
      <c r="E249" s="35">
        <f t="shared" si="34"/>
        <v>17656251.93</v>
      </c>
      <c r="F249" s="33">
        <f t="shared" si="34"/>
        <v>6381479818</v>
      </c>
      <c r="G249" s="33">
        <f t="shared" si="34"/>
        <v>1797756411.1199999</v>
      </c>
      <c r="H249" s="35">
        <f t="shared" si="34"/>
        <v>4790</v>
      </c>
      <c r="J249" s="650">
        <f>'Minor Minerals'!C293</f>
        <v>473</v>
      </c>
      <c r="K249" s="650">
        <f>'Minor Minerals'!D293</f>
        <v>11164.849999999999</v>
      </c>
      <c r="L249" s="650">
        <f>'Minor Minerals'!E293</f>
        <v>17656251.93</v>
      </c>
      <c r="M249" s="650">
        <f>'Minor Minerals'!F293</f>
        <v>6381479818</v>
      </c>
      <c r="N249" s="650">
        <f>'Minor Minerals'!G293</f>
        <v>1797756411.1199999</v>
      </c>
      <c r="O249" s="650">
        <f>'Minor Minerals'!H293</f>
        <v>4790</v>
      </c>
    </row>
    <row r="250" spans="1:15" ht="17.100000000000001" customHeight="1" x14ac:dyDescent="0.25">
      <c r="A250" s="136"/>
      <c r="B250" s="136"/>
      <c r="C250" s="136"/>
      <c r="D250" s="40"/>
      <c r="E250" s="136"/>
      <c r="F250" s="136"/>
      <c r="G250" s="136"/>
      <c r="H250" s="136"/>
      <c r="J250" s="123">
        <f>J249-C249</f>
        <v>0</v>
      </c>
      <c r="K250" s="123">
        <f t="shared" ref="K250:O250" si="35">K249-D249</f>
        <v>0</v>
      </c>
      <c r="L250" s="123">
        <f t="shared" si="35"/>
        <v>0</v>
      </c>
      <c r="M250" s="123">
        <f t="shared" si="35"/>
        <v>0</v>
      </c>
      <c r="N250" s="123">
        <f t="shared" si="35"/>
        <v>0</v>
      </c>
      <c r="O250" s="123">
        <f t="shared" si="35"/>
        <v>0</v>
      </c>
    </row>
    <row r="251" spans="1:15" ht="17.100000000000001" customHeight="1" x14ac:dyDescent="0.25">
      <c r="A251" s="1155" t="s">
        <v>144</v>
      </c>
      <c r="B251" s="1155"/>
      <c r="C251" s="1155"/>
      <c r="D251" s="1155"/>
      <c r="E251" s="1155"/>
      <c r="F251" s="1155"/>
      <c r="G251" s="1155"/>
      <c r="H251" s="1155"/>
    </row>
    <row r="252" spans="1:15" ht="17.100000000000001" customHeight="1" x14ac:dyDescent="0.25">
      <c r="A252" s="1122" t="s">
        <v>2</v>
      </c>
      <c r="B252" s="1124" t="s">
        <v>270</v>
      </c>
      <c r="C252" s="249" t="s">
        <v>4</v>
      </c>
      <c r="D252" s="249" t="s">
        <v>5</v>
      </c>
      <c r="E252" s="249" t="s">
        <v>6</v>
      </c>
      <c r="F252" s="249" t="s">
        <v>7</v>
      </c>
      <c r="G252" s="249" t="s">
        <v>8</v>
      </c>
      <c r="H252" s="249" t="s">
        <v>9</v>
      </c>
    </row>
    <row r="253" spans="1:15" ht="17.100000000000001" customHeight="1" x14ac:dyDescent="0.25">
      <c r="A253" s="1123"/>
      <c r="B253" s="1125"/>
      <c r="C253" s="2" t="s">
        <v>10</v>
      </c>
      <c r="D253" s="2" t="s">
        <v>52</v>
      </c>
      <c r="E253" s="2" t="s">
        <v>79</v>
      </c>
      <c r="F253" s="52" t="s">
        <v>80</v>
      </c>
      <c r="G253" s="52" t="s">
        <v>80</v>
      </c>
      <c r="H253" s="2" t="s">
        <v>13</v>
      </c>
    </row>
    <row r="254" spans="1:15" ht="17.100000000000001" customHeight="1" x14ac:dyDescent="0.25">
      <c r="A254" s="133">
        <v>1</v>
      </c>
      <c r="B254" s="188" t="s">
        <v>248</v>
      </c>
      <c r="C254" s="116">
        <f>Distt.Minor!C169</f>
        <v>0</v>
      </c>
      <c r="D254" s="116">
        <f>Distt.Minor!D169</f>
        <v>0</v>
      </c>
      <c r="E254" s="116">
        <f>Distt.Minor!E169</f>
        <v>663856</v>
      </c>
      <c r="F254" s="116">
        <f>Distt.Minor!F169</f>
        <v>697152198</v>
      </c>
      <c r="G254" s="116">
        <f>Distt.Minor!G169</f>
        <v>26402685</v>
      </c>
      <c r="H254" s="116">
        <f>Distt.Minor!H169</f>
        <v>300</v>
      </c>
    </row>
    <row r="255" spans="1:15" ht="17.100000000000001" customHeight="1" x14ac:dyDescent="0.25">
      <c r="A255" s="133">
        <v>2</v>
      </c>
      <c r="B255" s="188" t="s">
        <v>254</v>
      </c>
      <c r="C255" s="117">
        <f>Distt.Minor!C263</f>
        <v>209</v>
      </c>
      <c r="D255" s="117">
        <f>Distt.Minor!D263</f>
        <v>209.5</v>
      </c>
      <c r="E255" s="117">
        <f>Distt.Minor!E263</f>
        <v>106277.75999999999</v>
      </c>
      <c r="F255" s="117">
        <f>Distt.Minor!F263</f>
        <v>122219424</v>
      </c>
      <c r="G255" s="117">
        <f>Distt.Minor!G263</f>
        <v>33149560</v>
      </c>
      <c r="H255" s="117">
        <f>Distt.Minor!H263</f>
        <v>2450</v>
      </c>
    </row>
    <row r="256" spans="1:15" ht="17.100000000000001" customHeight="1" x14ac:dyDescent="0.25">
      <c r="A256" s="133">
        <v>3</v>
      </c>
      <c r="B256" s="188" t="s">
        <v>286</v>
      </c>
      <c r="C256" s="189">
        <f>Distt.Minor!C326</f>
        <v>69</v>
      </c>
      <c r="D256" s="189">
        <f>Distt.Minor!D326</f>
        <v>265.26</v>
      </c>
      <c r="E256" s="189">
        <f>Distt.Minor!E326</f>
        <v>1563424</v>
      </c>
      <c r="F256" s="189">
        <f>Distt.Minor!F326</f>
        <v>1755725152</v>
      </c>
      <c r="G256" s="189">
        <f>Distt.Minor!G326</f>
        <v>176666912</v>
      </c>
      <c r="H256" s="189">
        <f>Distt.Minor!H326</f>
        <v>758</v>
      </c>
    </row>
    <row r="257" spans="1:15" ht="17.100000000000001" customHeight="1" x14ac:dyDescent="0.25">
      <c r="A257" s="133">
        <v>4</v>
      </c>
      <c r="B257" s="188" t="s">
        <v>274</v>
      </c>
      <c r="C257" s="198">
        <f>Distt.Minor!C392</f>
        <v>17</v>
      </c>
      <c r="D257" s="198">
        <f>Distt.Minor!D392</f>
        <v>50.58</v>
      </c>
      <c r="E257" s="198">
        <f>Distt.Minor!E392</f>
        <v>50480</v>
      </c>
      <c r="F257" s="198">
        <f>Distt.Minor!F392</f>
        <v>58052920</v>
      </c>
      <c r="G257" s="198">
        <f>Distt.Minor!G392</f>
        <v>365706975</v>
      </c>
      <c r="H257" s="198">
        <f>Distt.Minor!H392</f>
        <v>100</v>
      </c>
    </row>
    <row r="258" spans="1:15" ht="17.100000000000001" customHeight="1" x14ac:dyDescent="0.25">
      <c r="A258" s="133">
        <v>5</v>
      </c>
      <c r="B258" s="188" t="s">
        <v>252</v>
      </c>
      <c r="C258" s="198">
        <f>Distt.Minor!C286</f>
        <v>5</v>
      </c>
      <c r="D258" s="198">
        <f>Distt.Minor!D286</f>
        <v>119.01</v>
      </c>
      <c r="E258" s="198">
        <f>Distt.Minor!E286</f>
        <v>48726</v>
      </c>
      <c r="F258" s="198">
        <f>Distt.Minor!F286</f>
        <v>56035943</v>
      </c>
      <c r="G258" s="198">
        <f>Distt.Minor!G286</f>
        <v>60252606</v>
      </c>
      <c r="H258" s="198">
        <f>Distt.Minor!H286</f>
        <v>35</v>
      </c>
    </row>
    <row r="259" spans="1:15" ht="17.100000000000001" customHeight="1" x14ac:dyDescent="0.25">
      <c r="A259" s="133">
        <v>6</v>
      </c>
      <c r="B259" s="188" t="s">
        <v>265</v>
      </c>
      <c r="C259" s="190">
        <f>Distt.Minor!C539</f>
        <v>25</v>
      </c>
      <c r="D259" s="190">
        <f>Distt.Minor!D539</f>
        <v>23.82</v>
      </c>
      <c r="E259" s="190">
        <f>Distt.Minor!E539</f>
        <v>41212</v>
      </c>
      <c r="F259" s="190">
        <f>Distt.Minor!F539</f>
        <v>45333251</v>
      </c>
      <c r="G259" s="190">
        <f>Distt.Minor!G539</f>
        <v>15588610</v>
      </c>
      <c r="H259" s="190">
        <f>Distt.Minor!H539</f>
        <v>300</v>
      </c>
    </row>
    <row r="260" spans="1:15" ht="17.100000000000001" customHeight="1" x14ac:dyDescent="0.25">
      <c r="A260" s="1300" t="s">
        <v>50</v>
      </c>
      <c r="B260" s="1301"/>
      <c r="C260" s="35">
        <f t="shared" ref="C260:H260" si="36">SUM(C254:C259)</f>
        <v>325</v>
      </c>
      <c r="D260" s="34">
        <f t="shared" si="36"/>
        <v>668.17000000000007</v>
      </c>
      <c r="E260" s="35">
        <f t="shared" si="36"/>
        <v>2473975.7599999998</v>
      </c>
      <c r="F260" s="35">
        <f t="shared" si="36"/>
        <v>2734518888</v>
      </c>
      <c r="G260" s="35">
        <f t="shared" si="36"/>
        <v>677767348</v>
      </c>
      <c r="H260" s="35">
        <f t="shared" si="36"/>
        <v>3943</v>
      </c>
      <c r="J260" s="244">
        <f>'Minor Minerals'!C306</f>
        <v>325</v>
      </c>
      <c r="K260" s="244">
        <f>'Minor Minerals'!D306</f>
        <v>668.17000000000007</v>
      </c>
      <c r="L260" s="244">
        <f>'Minor Minerals'!E306</f>
        <v>2473975.7599999998</v>
      </c>
      <c r="M260" s="244">
        <f>'Minor Minerals'!F306</f>
        <v>2734518888</v>
      </c>
      <c r="N260" s="244">
        <f>'Minor Minerals'!G306</f>
        <v>677767348</v>
      </c>
      <c r="O260" s="244">
        <f>'Minor Minerals'!H306</f>
        <v>3943</v>
      </c>
    </row>
    <row r="261" spans="1:15" ht="17.100000000000001" customHeight="1" x14ac:dyDescent="0.25">
      <c r="A261" s="39"/>
      <c r="B261" s="39"/>
      <c r="C261" s="36"/>
      <c r="D261" s="37"/>
      <c r="E261" s="38"/>
      <c r="F261" s="36"/>
      <c r="G261" s="38"/>
      <c r="H261" s="38"/>
      <c r="J261" s="123">
        <f>J260-C260</f>
        <v>0</v>
      </c>
      <c r="K261" s="123">
        <f t="shared" ref="K261:O261" si="37">K260-D260</f>
        <v>0</v>
      </c>
      <c r="L261" s="123">
        <f t="shared" si="37"/>
        <v>0</v>
      </c>
      <c r="M261" s="123">
        <f t="shared" si="37"/>
        <v>0</v>
      </c>
      <c r="N261" s="123">
        <f t="shared" si="37"/>
        <v>0</v>
      </c>
      <c r="O261" s="123">
        <f t="shared" si="37"/>
        <v>0</v>
      </c>
    </row>
    <row r="262" spans="1:15" ht="17.100000000000001" customHeight="1" x14ac:dyDescent="0.25">
      <c r="A262" s="1155" t="s">
        <v>62</v>
      </c>
      <c r="B262" s="1155"/>
      <c r="C262" s="1155"/>
      <c r="D262" s="1155"/>
      <c r="E262" s="1155"/>
      <c r="F262" s="1155"/>
      <c r="G262" s="1155"/>
      <c r="H262" s="1155"/>
    </row>
    <row r="263" spans="1:15" ht="17.100000000000001" customHeight="1" x14ac:dyDescent="0.25">
      <c r="A263" s="1122" t="s">
        <v>2</v>
      </c>
      <c r="B263" s="1124" t="s">
        <v>270</v>
      </c>
      <c r="C263" s="249" t="s">
        <v>4</v>
      </c>
      <c r="D263" s="249" t="s">
        <v>5</v>
      </c>
      <c r="E263" s="249" t="s">
        <v>6</v>
      </c>
      <c r="F263" s="249" t="s">
        <v>7</v>
      </c>
      <c r="G263" s="249" t="s">
        <v>8</v>
      </c>
      <c r="H263" s="249" t="s">
        <v>9</v>
      </c>
    </row>
    <row r="264" spans="1:15" ht="17.100000000000001" customHeight="1" x14ac:dyDescent="0.25">
      <c r="A264" s="1123"/>
      <c r="B264" s="1125"/>
      <c r="C264" s="2" t="s">
        <v>10</v>
      </c>
      <c r="D264" s="2" t="s">
        <v>52</v>
      </c>
      <c r="E264" s="2" t="s">
        <v>79</v>
      </c>
      <c r="F264" s="52" t="s">
        <v>80</v>
      </c>
      <c r="G264" s="52" t="s">
        <v>80</v>
      </c>
      <c r="H264" s="2" t="s">
        <v>13</v>
      </c>
    </row>
    <row r="265" spans="1:15" ht="17.100000000000001" customHeight="1" x14ac:dyDescent="0.25">
      <c r="A265" s="133">
        <v>1</v>
      </c>
      <c r="B265" s="546" t="s">
        <v>240</v>
      </c>
      <c r="C265" s="202">
        <f>Distt.Minor!C8</f>
        <v>102</v>
      </c>
      <c r="D265" s="202">
        <f>Distt.Minor!D8</f>
        <v>168.60000000000002</v>
      </c>
      <c r="E265" s="202">
        <f>Distt.Minor!E8</f>
        <v>740749</v>
      </c>
      <c r="F265" s="202">
        <f>Distt.Minor!F8</f>
        <v>1371649534</v>
      </c>
      <c r="G265" s="202">
        <f>Distt.Minor!G8</f>
        <v>226093354</v>
      </c>
      <c r="H265" s="202">
        <f>Distt.Minor!H8</f>
        <v>460</v>
      </c>
    </row>
    <row r="266" spans="1:15" ht="17.100000000000001" customHeight="1" x14ac:dyDescent="0.25">
      <c r="A266" s="133">
        <v>2</v>
      </c>
      <c r="B266" s="546" t="s">
        <v>271</v>
      </c>
      <c r="C266" s="63">
        <f>Distt.Minor!C28</f>
        <v>134</v>
      </c>
      <c r="D266" s="63">
        <f>Distt.Minor!D28</f>
        <v>194.83</v>
      </c>
      <c r="E266" s="63">
        <f>Distt.Minor!E28</f>
        <v>2900590</v>
      </c>
      <c r="F266" s="63">
        <f>Distt.Minor!F28</f>
        <v>5096033078</v>
      </c>
      <c r="G266" s="63">
        <f>Distt.Minor!G28</f>
        <v>440396071</v>
      </c>
      <c r="H266" s="63">
        <f>Distt.Minor!H28</f>
        <v>3000</v>
      </c>
    </row>
    <row r="267" spans="1:15" ht="17.100000000000001" customHeight="1" x14ac:dyDescent="0.25">
      <c r="A267" s="133">
        <v>3</v>
      </c>
      <c r="B267" s="546" t="s">
        <v>242</v>
      </c>
      <c r="C267" s="141">
        <f>Distt.Minor!C47</f>
        <v>88</v>
      </c>
      <c r="D267" s="141">
        <f>Distt.Minor!D47</f>
        <v>151.82</v>
      </c>
      <c r="E267" s="141">
        <f>Distt.Minor!E47</f>
        <v>1240435</v>
      </c>
      <c r="F267" s="141">
        <f>Distt.Minor!F47</f>
        <v>2294804491</v>
      </c>
      <c r="G267" s="141">
        <f>Distt.Minor!G47</f>
        <v>284401020</v>
      </c>
      <c r="H267" s="141">
        <f>Distt.Minor!H47</f>
        <v>350</v>
      </c>
    </row>
    <row r="268" spans="1:15" ht="17.100000000000001" customHeight="1" x14ac:dyDescent="0.25">
      <c r="A268" s="133">
        <v>4</v>
      </c>
      <c r="B268" s="546" t="s">
        <v>245</v>
      </c>
      <c r="C268" s="117">
        <f>Distt.Minor!C118</f>
        <v>26</v>
      </c>
      <c r="D268" s="116" t="str">
        <f>Distt.Minor!D118</f>
        <v>40..8</v>
      </c>
      <c r="E268" s="117">
        <f>Distt.Minor!E118</f>
        <v>79614</v>
      </c>
      <c r="F268" s="117">
        <f>Distt.Minor!F118</f>
        <v>147285900</v>
      </c>
      <c r="G268" s="117">
        <f>Distt.Minor!G118</f>
        <v>14484890</v>
      </c>
      <c r="H268" s="117">
        <f>Distt.Minor!H118</f>
        <v>95</v>
      </c>
    </row>
    <row r="269" spans="1:15" ht="17.100000000000001" customHeight="1" x14ac:dyDescent="0.25">
      <c r="A269" s="133">
        <v>5</v>
      </c>
      <c r="B269" s="546" t="s">
        <v>247</v>
      </c>
      <c r="C269" s="141">
        <f>Distt.Minor!C152</f>
        <v>11</v>
      </c>
      <c r="D269" s="141">
        <f>Distt.Minor!D152</f>
        <v>31.82</v>
      </c>
      <c r="E269" s="141">
        <f>Distt.Minor!E152</f>
        <v>121994.51</v>
      </c>
      <c r="F269" s="141">
        <f>Distt.Minor!F152</f>
        <v>225689843</v>
      </c>
      <c r="G269" s="141">
        <f>Distt.Minor!G152</f>
        <v>5801061</v>
      </c>
      <c r="H269" s="141">
        <f>Distt.Minor!H152</f>
        <v>150</v>
      </c>
    </row>
    <row r="270" spans="1:15" ht="17.100000000000001" customHeight="1" x14ac:dyDescent="0.25">
      <c r="A270" s="133">
        <v>6</v>
      </c>
      <c r="B270" s="546" t="s">
        <v>248</v>
      </c>
      <c r="C270" s="141">
        <f>Distt.Minor!C179</f>
        <v>13</v>
      </c>
      <c r="D270" s="141">
        <f>Distt.Minor!D179</f>
        <v>46.39</v>
      </c>
      <c r="E270" s="141">
        <f>Distt.Minor!E179</f>
        <v>9441</v>
      </c>
      <c r="F270" s="141">
        <f>Distt.Minor!F179</f>
        <v>17465979</v>
      </c>
      <c r="G270" s="141">
        <f>Distt.Minor!G179</f>
        <v>7064987</v>
      </c>
      <c r="H270" s="141">
        <f>Distt.Minor!H179</f>
        <v>380</v>
      </c>
    </row>
    <row r="271" spans="1:15" ht="17.100000000000001" customHeight="1" x14ac:dyDescent="0.25">
      <c r="A271" s="133">
        <v>7</v>
      </c>
      <c r="B271" s="546" t="s">
        <v>284</v>
      </c>
      <c r="C271" s="133">
        <f>Distt.Minor!C193</f>
        <v>14</v>
      </c>
      <c r="D271" s="133">
        <f>Distt.Minor!D193</f>
        <v>33.17</v>
      </c>
      <c r="E271" s="133">
        <f>Distt.Minor!E193</f>
        <v>8447</v>
      </c>
      <c r="F271" s="133">
        <f>Distt.Minor!F193</f>
        <v>16049775</v>
      </c>
      <c r="G271" s="133">
        <f>Distt.Minor!G193</f>
        <v>5330692</v>
      </c>
      <c r="H271" s="133">
        <f>Distt.Minor!H193</f>
        <v>15</v>
      </c>
    </row>
    <row r="272" spans="1:15" ht="17.100000000000001" customHeight="1" x14ac:dyDescent="0.25">
      <c r="A272" s="133">
        <v>8</v>
      </c>
      <c r="B272" s="546" t="s">
        <v>249</v>
      </c>
      <c r="C272" s="141">
        <f>Distt.Minor!C206</f>
        <v>2</v>
      </c>
      <c r="D272" s="141">
        <f>Distt.Minor!D206</f>
        <v>5.2957999999999998</v>
      </c>
      <c r="E272" s="141">
        <f>Distt.Minor!E206</f>
        <v>267</v>
      </c>
      <c r="F272" s="141">
        <f>Distt.Minor!F206</f>
        <v>493950</v>
      </c>
      <c r="G272" s="141">
        <f>Distt.Minor!G206</f>
        <v>568710</v>
      </c>
      <c r="H272" s="141">
        <f>Distt.Minor!H206</f>
        <v>5</v>
      </c>
    </row>
    <row r="273" spans="1:15" ht="17.100000000000001" customHeight="1" x14ac:dyDescent="0.25">
      <c r="A273" s="133">
        <v>9</v>
      </c>
      <c r="B273" s="546" t="s">
        <v>250</v>
      </c>
      <c r="C273" s="133">
        <f>Distt.Minor!C237</f>
        <v>0</v>
      </c>
      <c r="D273" s="133">
        <f>Distt.Minor!D237</f>
        <v>0</v>
      </c>
      <c r="E273" s="133">
        <f>Distt.Minor!E237</f>
        <v>0</v>
      </c>
      <c r="F273" s="133">
        <f>Distt.Minor!F237</f>
        <v>0</v>
      </c>
      <c r="G273" s="133">
        <f>Distt.Minor!G237</f>
        <v>0</v>
      </c>
      <c r="H273" s="133">
        <f>Distt.Minor!H237</f>
        <v>0</v>
      </c>
    </row>
    <row r="274" spans="1:15" ht="17.100000000000001" customHeight="1" x14ac:dyDescent="0.25">
      <c r="A274" s="133">
        <v>10</v>
      </c>
      <c r="B274" s="546" t="s">
        <v>252</v>
      </c>
      <c r="C274" s="133">
        <f>Distt.Minor!C283</f>
        <v>30</v>
      </c>
      <c r="D274" s="133">
        <f>Distt.Minor!D283</f>
        <v>56.42</v>
      </c>
      <c r="E274" s="133">
        <f>Distt.Minor!E283</f>
        <v>138583</v>
      </c>
      <c r="F274" s="133">
        <f>Distt.Minor!F283</f>
        <v>254719301</v>
      </c>
      <c r="G274" s="133">
        <f>Distt.Minor!G283</f>
        <v>24868855</v>
      </c>
      <c r="H274" s="133">
        <f>Distt.Minor!H283</f>
        <v>175</v>
      </c>
    </row>
    <row r="275" spans="1:15" ht="17.100000000000001" customHeight="1" x14ac:dyDescent="0.25">
      <c r="A275" s="133">
        <v>11</v>
      </c>
      <c r="B275" s="546" t="s">
        <v>272</v>
      </c>
      <c r="C275" s="133">
        <f>Distt.Minor!C262</f>
        <v>41</v>
      </c>
      <c r="D275" s="133">
        <f>Distt.Minor!D262</f>
        <v>142.6</v>
      </c>
      <c r="E275" s="133">
        <f>Distt.Minor!E262</f>
        <v>38757.22</v>
      </c>
      <c r="F275" s="133">
        <f>Distt.Minor!F262</f>
        <v>71700857</v>
      </c>
      <c r="G275" s="133">
        <f>Distt.Minor!G262</f>
        <v>25661113</v>
      </c>
      <c r="H275" s="133">
        <f>Distt.Minor!H262</f>
        <v>210</v>
      </c>
    </row>
    <row r="276" spans="1:15" ht="17.100000000000001" customHeight="1" x14ac:dyDescent="0.25">
      <c r="A276" s="133">
        <v>12</v>
      </c>
      <c r="B276" s="546" t="s">
        <v>256</v>
      </c>
      <c r="C276" s="133">
        <f>Distt.Minor!C339</f>
        <v>9</v>
      </c>
      <c r="D276" s="133">
        <f>Distt.Minor!D339</f>
        <v>21.481999999999999</v>
      </c>
      <c r="E276" s="133">
        <f>Distt.Minor!E339</f>
        <v>1586</v>
      </c>
      <c r="F276" s="133">
        <f>Distt.Minor!F339</f>
        <v>2934482</v>
      </c>
      <c r="G276" s="133">
        <f>Distt.Minor!G339</f>
        <v>460000</v>
      </c>
      <c r="H276" s="133">
        <f>Distt.Minor!H339</f>
        <v>21</v>
      </c>
    </row>
    <row r="277" spans="1:15" ht="17.100000000000001" customHeight="1" x14ac:dyDescent="0.25">
      <c r="A277" s="133">
        <v>13</v>
      </c>
      <c r="B277" s="546" t="s">
        <v>257</v>
      </c>
      <c r="C277" s="133">
        <f>Distt.Minor!C362</f>
        <v>6</v>
      </c>
      <c r="D277" s="133">
        <f>Distt.Minor!D362</f>
        <v>20.85</v>
      </c>
      <c r="E277" s="133">
        <f>Distt.Minor!E362</f>
        <v>7025</v>
      </c>
      <c r="F277" s="133">
        <f>Distt.Minor!F362</f>
        <v>12996250</v>
      </c>
      <c r="G277" s="133">
        <f>Distt.Minor!G362</f>
        <v>1686000</v>
      </c>
      <c r="H277" s="133">
        <f>Distt.Minor!H362</f>
        <v>145</v>
      </c>
    </row>
    <row r="278" spans="1:15" ht="17.100000000000001" customHeight="1" x14ac:dyDescent="0.25">
      <c r="A278" s="133">
        <v>14</v>
      </c>
      <c r="B278" s="546" t="s">
        <v>259</v>
      </c>
      <c r="C278" s="133">
        <f>Distt.Minor!C408</f>
        <v>0</v>
      </c>
      <c r="D278" s="133">
        <f>Distt.Minor!D408</f>
        <v>0</v>
      </c>
      <c r="E278" s="133">
        <f>Distt.Minor!E408</f>
        <v>1163613</v>
      </c>
      <c r="F278" s="133">
        <f>Distt.Minor!F408</f>
        <v>2909033725</v>
      </c>
      <c r="G278" s="133">
        <f>Distt.Minor!G408</f>
        <v>410472000</v>
      </c>
      <c r="H278" s="133">
        <f>Distt.Minor!H408</f>
        <v>10700</v>
      </c>
    </row>
    <row r="279" spans="1:15" ht="17.100000000000001" customHeight="1" x14ac:dyDescent="0.25">
      <c r="A279" s="133">
        <v>15</v>
      </c>
      <c r="B279" s="546" t="s">
        <v>260</v>
      </c>
      <c r="C279" s="133">
        <f>Distt.Minor!C426</f>
        <v>1</v>
      </c>
      <c r="D279" s="133">
        <f>Distt.Minor!D426</f>
        <v>1</v>
      </c>
      <c r="E279" s="133">
        <f>Distt.Minor!E426</f>
        <v>0</v>
      </c>
      <c r="F279" s="133">
        <f>Distt.Minor!F426</f>
        <v>0</v>
      </c>
      <c r="G279" s="133">
        <f>Distt.Minor!G426</f>
        <v>0</v>
      </c>
      <c r="H279" s="133">
        <f>Distt.Minor!H426</f>
        <v>0</v>
      </c>
    </row>
    <row r="280" spans="1:15" ht="17.100000000000001" customHeight="1" x14ac:dyDescent="0.25">
      <c r="A280" s="133">
        <v>16</v>
      </c>
      <c r="B280" s="546" t="s">
        <v>261</v>
      </c>
      <c r="C280" s="141">
        <f>Distt.Minor!C445</f>
        <v>17</v>
      </c>
      <c r="D280" s="141">
        <f>Distt.Minor!D445</f>
        <v>33</v>
      </c>
      <c r="E280" s="141">
        <f>Distt.Minor!E445</f>
        <v>387385</v>
      </c>
      <c r="F280" s="141">
        <f>Distt.Minor!F445</f>
        <v>716662250</v>
      </c>
      <c r="G280" s="141">
        <f>Distt.Minor!G445</f>
        <v>81350850</v>
      </c>
      <c r="H280" s="141">
        <f>Distt.Minor!H445</f>
        <v>350</v>
      </c>
    </row>
    <row r="281" spans="1:15" ht="17.100000000000001" customHeight="1" x14ac:dyDescent="0.25">
      <c r="A281" s="133">
        <v>17</v>
      </c>
      <c r="B281" s="546" t="s">
        <v>275</v>
      </c>
      <c r="C281" s="117">
        <f>Distt.Minor!C464</f>
        <v>976</v>
      </c>
      <c r="D281" s="117">
        <f>Distt.Minor!D464</f>
        <v>1254.8200000000002</v>
      </c>
      <c r="E281" s="117">
        <f>Distt.Minor!E464</f>
        <v>4026177</v>
      </c>
      <c r="F281" s="117">
        <f>Distt.Minor!F464</f>
        <v>7590260992</v>
      </c>
      <c r="G281" s="117">
        <f>Distt.Minor!G464</f>
        <v>1316120960</v>
      </c>
      <c r="H281" s="117">
        <f>Distt.Minor!H464</f>
        <v>7655</v>
      </c>
    </row>
    <row r="282" spans="1:15" ht="17.100000000000001" customHeight="1" x14ac:dyDescent="0.25">
      <c r="A282" s="133">
        <v>18</v>
      </c>
      <c r="B282" s="546" t="s">
        <v>264</v>
      </c>
      <c r="C282" s="133">
        <f>Distt.Minor!C514</f>
        <v>26</v>
      </c>
      <c r="D282" s="133">
        <f>Distt.Minor!D514</f>
        <v>496.7</v>
      </c>
      <c r="E282" s="133">
        <f>Distt.Minor!E514</f>
        <v>304607.51</v>
      </c>
      <c r="F282" s="133">
        <f>Distt.Minor!F514</f>
        <v>553821743</v>
      </c>
      <c r="G282" s="133">
        <f>Distt.Minor!G514</f>
        <v>36292665</v>
      </c>
      <c r="H282" s="133">
        <f>Distt.Minor!H514</f>
        <v>130</v>
      </c>
    </row>
    <row r="283" spans="1:15" ht="17.100000000000001" customHeight="1" x14ac:dyDescent="0.25">
      <c r="A283" s="133">
        <v>19</v>
      </c>
      <c r="B283" s="546" t="s">
        <v>265</v>
      </c>
      <c r="C283" s="190">
        <f>Distt.Minor!C536</f>
        <v>80</v>
      </c>
      <c r="D283" s="190">
        <f>Distt.Minor!D536</f>
        <v>82.05</v>
      </c>
      <c r="E283" s="190">
        <f>Distt.Minor!E536</f>
        <v>737699</v>
      </c>
      <c r="F283" s="190">
        <f>Distt.Minor!F536</f>
        <v>1364744926</v>
      </c>
      <c r="G283" s="190">
        <f>Distt.Minor!G536</f>
        <v>105644461</v>
      </c>
      <c r="H283" s="190">
        <f>Distt.Minor!H536</f>
        <v>1350</v>
      </c>
    </row>
    <row r="284" spans="1:15" ht="17.100000000000001" customHeight="1" x14ac:dyDescent="0.25">
      <c r="A284" s="133">
        <v>20</v>
      </c>
      <c r="B284" s="546" t="s">
        <v>267</v>
      </c>
      <c r="C284" s="141">
        <f>Distt.Minor!C570</f>
        <v>107</v>
      </c>
      <c r="D284" s="141">
        <f>Distt.Minor!D570</f>
        <v>153.42000000000002</v>
      </c>
      <c r="E284" s="141">
        <f>Distt.Minor!E570</f>
        <v>282593</v>
      </c>
      <c r="F284" s="141">
        <f>Distt.Minor!F570</f>
        <v>506418250</v>
      </c>
      <c r="G284" s="141">
        <f>Distt.Minor!G570</f>
        <v>92068702</v>
      </c>
      <c r="H284" s="141">
        <f>Distt.Minor!H570</f>
        <v>745</v>
      </c>
    </row>
    <row r="285" spans="1:15" ht="17.100000000000001" customHeight="1" x14ac:dyDescent="0.25">
      <c r="A285" s="1300" t="s">
        <v>50</v>
      </c>
      <c r="B285" s="1301"/>
      <c r="C285" s="35">
        <f t="shared" ref="C285:H285" si="38">SUM(C265:C284)</f>
        <v>1683</v>
      </c>
      <c r="D285" s="34">
        <f t="shared" si="38"/>
        <v>2894.2678000000001</v>
      </c>
      <c r="E285" s="33">
        <f t="shared" si="38"/>
        <v>12189563.24</v>
      </c>
      <c r="F285" s="35">
        <f t="shared" si="38"/>
        <v>23152765326</v>
      </c>
      <c r="G285" s="33">
        <f t="shared" si="38"/>
        <v>3078766391</v>
      </c>
      <c r="H285" s="33">
        <f t="shared" si="38"/>
        <v>25936</v>
      </c>
      <c r="J285" s="243">
        <f>'Minor Minerals'!C339</f>
        <v>1683</v>
      </c>
      <c r="K285" s="243">
        <f>'Minor Minerals'!D339</f>
        <v>2894.2678000000005</v>
      </c>
      <c r="L285" s="243">
        <f>'Minor Minerals'!E339</f>
        <v>12189563.24</v>
      </c>
      <c r="M285" s="243">
        <f>'Minor Minerals'!F339</f>
        <v>23152765326</v>
      </c>
      <c r="N285" s="243">
        <f>'Minor Minerals'!G339</f>
        <v>3078766391</v>
      </c>
      <c r="O285" s="243">
        <f>'Minor Minerals'!H339</f>
        <v>25936</v>
      </c>
    </row>
    <row r="286" spans="1:15" ht="17.100000000000001" customHeight="1" x14ac:dyDescent="0.25">
      <c r="A286" s="39"/>
      <c r="B286" s="39"/>
      <c r="C286" s="41"/>
      <c r="D286" s="42"/>
      <c r="E286" s="43"/>
      <c r="F286" s="41"/>
      <c r="G286" s="43"/>
      <c r="H286" s="43"/>
      <c r="J286" s="128">
        <f>J285-C285</f>
        <v>0</v>
      </c>
      <c r="K286" s="128">
        <f t="shared" ref="K286:O286" si="39">K285-D285</f>
        <v>0</v>
      </c>
      <c r="L286" s="128">
        <f t="shared" si="39"/>
        <v>0</v>
      </c>
      <c r="M286" s="128">
        <f t="shared" si="39"/>
        <v>0</v>
      </c>
      <c r="N286" s="128">
        <f t="shared" si="39"/>
        <v>0</v>
      </c>
      <c r="O286" s="128">
        <f t="shared" si="39"/>
        <v>0</v>
      </c>
    </row>
    <row r="287" spans="1:15" ht="17.100000000000001" customHeight="1" x14ac:dyDescent="0.25">
      <c r="A287" s="1155" t="s">
        <v>146</v>
      </c>
      <c r="B287" s="1155"/>
      <c r="C287" s="1155"/>
      <c r="D287" s="1155"/>
      <c r="E287" s="1155"/>
      <c r="F287" s="1155"/>
      <c r="G287" s="1155"/>
      <c r="H287" s="1155"/>
    </row>
    <row r="288" spans="1:15" ht="17.100000000000001" customHeight="1" x14ac:dyDescent="0.25">
      <c r="A288" s="1122" t="s">
        <v>2</v>
      </c>
      <c r="B288" s="1124" t="s">
        <v>270</v>
      </c>
      <c r="C288" s="249" t="s">
        <v>4</v>
      </c>
      <c r="D288" s="249" t="s">
        <v>5</v>
      </c>
      <c r="E288" s="249" t="s">
        <v>6</v>
      </c>
      <c r="F288" s="249" t="s">
        <v>7</v>
      </c>
      <c r="G288" s="249" t="s">
        <v>8</v>
      </c>
      <c r="H288" s="249" t="s">
        <v>9</v>
      </c>
    </row>
    <row r="289" spans="1:8" ht="17.100000000000001" customHeight="1" x14ac:dyDescent="0.25">
      <c r="A289" s="1123"/>
      <c r="B289" s="1125"/>
      <c r="C289" s="2" t="s">
        <v>10</v>
      </c>
      <c r="D289" s="2" t="s">
        <v>52</v>
      </c>
      <c r="E289" s="2" t="s">
        <v>79</v>
      </c>
      <c r="F289" s="52" t="s">
        <v>80</v>
      </c>
      <c r="G289" s="52" t="s">
        <v>80</v>
      </c>
      <c r="H289" s="2" t="s">
        <v>13</v>
      </c>
    </row>
    <row r="290" spans="1:8" ht="17.100000000000001" customHeight="1" x14ac:dyDescent="0.25">
      <c r="A290" s="117">
        <v>1</v>
      </c>
      <c r="B290" s="546" t="s">
        <v>240</v>
      </c>
      <c r="C290" s="63">
        <f>Distt.Minor!C10</f>
        <v>335</v>
      </c>
      <c r="D290" s="63">
        <f>Distt.Minor!D10</f>
        <v>353.71</v>
      </c>
      <c r="E290" s="63">
        <f>Distt.Minor!E10</f>
        <v>3149853</v>
      </c>
      <c r="F290" s="63">
        <f>Distt.Minor!F10</f>
        <v>784525042</v>
      </c>
      <c r="G290" s="63">
        <f>Distt.Minor!G10</f>
        <v>139598463</v>
      </c>
      <c r="H290" s="63">
        <f>Distt.Minor!H10</f>
        <v>1494</v>
      </c>
    </row>
    <row r="291" spans="1:8" ht="17.100000000000001" customHeight="1" x14ac:dyDescent="0.25">
      <c r="A291" s="117">
        <v>2</v>
      </c>
      <c r="B291" s="546" t="s">
        <v>271</v>
      </c>
      <c r="C291" s="205">
        <f>Distt.Minor!C29</f>
        <v>178</v>
      </c>
      <c r="D291" s="205">
        <f>Distt.Minor!D29</f>
        <v>154.69</v>
      </c>
      <c r="E291" s="205">
        <f>Distt.Minor!E29</f>
        <v>6575487</v>
      </c>
      <c r="F291" s="205">
        <f>Distt.Minor!F29</f>
        <v>1380852308</v>
      </c>
      <c r="G291" s="205">
        <f>Distt.Minor!G29</f>
        <v>289321436</v>
      </c>
      <c r="H291" s="205">
        <f>Distt.Minor!H29</f>
        <v>5000</v>
      </c>
    </row>
    <row r="292" spans="1:8" ht="17.100000000000001" customHeight="1" x14ac:dyDescent="0.25">
      <c r="A292" s="117">
        <v>3</v>
      </c>
      <c r="B292" s="546" t="s">
        <v>242</v>
      </c>
      <c r="C292" s="190">
        <f>Distt.Minor!C49</f>
        <v>59</v>
      </c>
      <c r="D292" s="190">
        <f>Distt.Minor!D49</f>
        <v>61.68</v>
      </c>
      <c r="E292" s="190">
        <f>Distt.Minor!E49</f>
        <v>943494</v>
      </c>
      <c r="F292" s="190">
        <f>Distt.Minor!F49</f>
        <v>197275758</v>
      </c>
      <c r="G292" s="190">
        <f>Distt.Minor!G49</f>
        <v>37650257</v>
      </c>
      <c r="H292" s="190">
        <f>Distt.Minor!H49</f>
        <v>258</v>
      </c>
    </row>
    <row r="293" spans="1:8" ht="17.100000000000001" customHeight="1" x14ac:dyDescent="0.25">
      <c r="A293" s="117">
        <v>4</v>
      </c>
      <c r="B293" s="546" t="s">
        <v>282</v>
      </c>
      <c r="C293" s="202">
        <f>Distt.Minor!C82</f>
        <v>41</v>
      </c>
      <c r="D293" s="202">
        <f>Distt.Minor!D82</f>
        <v>41.644300000000001</v>
      </c>
      <c r="E293" s="202">
        <f>Distt.Minor!E82</f>
        <v>342852</v>
      </c>
      <c r="F293" s="202">
        <f>Distt.Minor!F82</f>
        <v>71998920</v>
      </c>
      <c r="G293" s="202">
        <f>Distt.Minor!G82</f>
        <v>13714080</v>
      </c>
      <c r="H293" s="202">
        <f>Distt.Minor!H82</f>
        <v>150</v>
      </c>
    </row>
    <row r="294" spans="1:8" ht="17.100000000000001" customHeight="1" x14ac:dyDescent="0.25">
      <c r="A294" s="117">
        <v>5</v>
      </c>
      <c r="B294" s="546" t="s">
        <v>243</v>
      </c>
      <c r="C294" s="141">
        <f>Distt.Minor!C66</f>
        <v>401</v>
      </c>
      <c r="D294" s="141">
        <f>Distt.Minor!D66</f>
        <v>429.65</v>
      </c>
      <c r="E294" s="141">
        <f>Distt.Minor!E66</f>
        <v>5929888</v>
      </c>
      <c r="F294" s="141">
        <f>Distt.Minor!F66</f>
        <v>1245276638</v>
      </c>
      <c r="G294" s="141">
        <f>Distt.Minor!G66</f>
        <v>401424299</v>
      </c>
      <c r="H294" s="141">
        <f>Distt.Minor!H66</f>
        <v>3025</v>
      </c>
    </row>
    <row r="295" spans="1:8" ht="17.100000000000001" customHeight="1" x14ac:dyDescent="0.25">
      <c r="A295" s="117">
        <v>6</v>
      </c>
      <c r="B295" s="546" t="s">
        <v>244</v>
      </c>
      <c r="C295" s="204">
        <f>Distt.Minor!C94</f>
        <v>586</v>
      </c>
      <c r="D295" s="204">
        <f>Distt.Minor!D94</f>
        <v>597.07999999999993</v>
      </c>
      <c r="E295" s="204">
        <f>Distt.Minor!E94</f>
        <v>19944343</v>
      </c>
      <c r="F295" s="204">
        <f>Distt.Minor!F94</f>
        <v>3705516668</v>
      </c>
      <c r="G295" s="204">
        <f>Distt.Minor!G94</f>
        <v>1098086696</v>
      </c>
      <c r="H295" s="204">
        <f>Distt.Minor!H94</f>
        <v>3000</v>
      </c>
    </row>
    <row r="296" spans="1:8" ht="17.100000000000001" customHeight="1" x14ac:dyDescent="0.25">
      <c r="A296" s="117">
        <v>7</v>
      </c>
      <c r="B296" s="546" t="s">
        <v>245</v>
      </c>
      <c r="C296" s="205">
        <f>Distt.Minor!C110</f>
        <v>161</v>
      </c>
      <c r="D296" s="205">
        <f>Distt.Minor!D110</f>
        <v>163.59</v>
      </c>
      <c r="E296" s="205">
        <f>Distt.Minor!E110</f>
        <v>2062652</v>
      </c>
      <c r="F296" s="205">
        <f>Distt.Minor!F110</f>
        <v>412783750</v>
      </c>
      <c r="G296" s="205">
        <f>Distt.Minor!G110</f>
        <v>120386271</v>
      </c>
      <c r="H296" s="205">
        <f>Distt.Minor!H110</f>
        <v>3365</v>
      </c>
    </row>
    <row r="297" spans="1:8" ht="17.100000000000001" customHeight="1" x14ac:dyDescent="0.25">
      <c r="A297" s="117">
        <v>8</v>
      </c>
      <c r="B297" s="546" t="s">
        <v>246</v>
      </c>
      <c r="C297" s="141">
        <f>Distt.Minor!C138</f>
        <v>12</v>
      </c>
      <c r="D297" s="141">
        <f>Distt.Minor!D138</f>
        <v>12</v>
      </c>
      <c r="E297" s="141">
        <f>Distt.Minor!E138</f>
        <v>35687</v>
      </c>
      <c r="F297" s="141">
        <f>Distt.Minor!F138</f>
        <v>7494270</v>
      </c>
      <c r="G297" s="141">
        <f>Distt.Minor!G138</f>
        <v>505754</v>
      </c>
      <c r="H297" s="141">
        <f>Distt.Minor!H138</f>
        <v>72</v>
      </c>
    </row>
    <row r="298" spans="1:8" ht="17.100000000000001" customHeight="1" x14ac:dyDescent="0.25">
      <c r="A298" s="117">
        <v>9</v>
      </c>
      <c r="B298" s="546" t="s">
        <v>247</v>
      </c>
      <c r="C298" s="117">
        <f>Distt.Minor!C151</f>
        <v>56</v>
      </c>
      <c r="D298" s="117">
        <f>Distt.Minor!D151</f>
        <v>62.51</v>
      </c>
      <c r="E298" s="117">
        <f>Distt.Minor!E151</f>
        <v>781411</v>
      </c>
      <c r="F298" s="117">
        <f>Distt.Minor!F151</f>
        <v>187538649</v>
      </c>
      <c r="G298" s="117">
        <f>Distt.Minor!G151</f>
        <v>33175543</v>
      </c>
      <c r="H298" s="117">
        <f>Distt.Minor!H151</f>
        <v>250</v>
      </c>
    </row>
    <row r="299" spans="1:8" ht="17.100000000000001" customHeight="1" x14ac:dyDescent="0.25">
      <c r="A299" s="117">
        <v>10</v>
      </c>
      <c r="B299" s="546" t="s">
        <v>248</v>
      </c>
      <c r="C299" s="198">
        <f>Distt.Minor!C167</f>
        <v>37</v>
      </c>
      <c r="D299" s="198">
        <f>Distt.Minor!D167</f>
        <v>42.370000000000005</v>
      </c>
      <c r="E299" s="198">
        <f>Distt.Minor!E167</f>
        <v>271295</v>
      </c>
      <c r="F299" s="198">
        <f>Distt.Minor!F167</f>
        <v>58198350</v>
      </c>
      <c r="G299" s="198">
        <f>Distt.Minor!G167</f>
        <v>10199424</v>
      </c>
      <c r="H299" s="198">
        <f>Distt.Minor!H167</f>
        <v>55</v>
      </c>
    </row>
    <row r="300" spans="1:8" ht="17.100000000000001" customHeight="1" x14ac:dyDescent="0.25">
      <c r="A300" s="117">
        <v>11</v>
      </c>
      <c r="B300" s="546" t="s">
        <v>284</v>
      </c>
      <c r="C300" s="141">
        <f>Distt.Minor!C194</f>
        <v>161</v>
      </c>
      <c r="D300" s="141">
        <f>Distt.Minor!D194</f>
        <v>179.51</v>
      </c>
      <c r="E300" s="141">
        <f>Distt.Minor!E194</f>
        <v>7686162</v>
      </c>
      <c r="F300" s="141">
        <f>Distt.Minor!F194</f>
        <v>1383509270</v>
      </c>
      <c r="G300" s="141">
        <f>Distt.Minor!G194</f>
        <v>436037862</v>
      </c>
      <c r="H300" s="141">
        <f>Distt.Minor!H194</f>
        <v>540</v>
      </c>
    </row>
    <row r="301" spans="1:8" ht="17.100000000000001" customHeight="1" x14ac:dyDescent="0.25">
      <c r="A301" s="117">
        <v>12</v>
      </c>
      <c r="B301" s="546" t="s">
        <v>249</v>
      </c>
      <c r="C301" s="117">
        <f>Distt.Minor!C205</f>
        <v>107</v>
      </c>
      <c r="D301" s="117">
        <f>Distt.Minor!D205</f>
        <v>231.85</v>
      </c>
      <c r="E301" s="117">
        <f>Distt.Minor!E205</f>
        <v>1749901</v>
      </c>
      <c r="F301" s="117">
        <f>Distt.Minor!F205</f>
        <v>332481190</v>
      </c>
      <c r="G301" s="117">
        <f>Distt.Minor!G205</f>
        <v>149435586</v>
      </c>
      <c r="H301" s="117">
        <f>Distt.Minor!H205</f>
        <v>340</v>
      </c>
    </row>
    <row r="302" spans="1:8" ht="17.100000000000001" customHeight="1" x14ac:dyDescent="0.25">
      <c r="A302" s="117">
        <v>13</v>
      </c>
      <c r="B302" s="546" t="s">
        <v>285</v>
      </c>
      <c r="C302" s="207">
        <f>Distt.Minor!C225</f>
        <v>16</v>
      </c>
      <c r="D302" s="207">
        <f>Distt.Minor!D225</f>
        <v>158.73310000000001</v>
      </c>
      <c r="E302" s="207">
        <f>Distt.Minor!E225</f>
        <v>15180.5</v>
      </c>
      <c r="F302" s="207">
        <f>Distt.Minor!F225</f>
        <v>3112002.5</v>
      </c>
      <c r="G302" s="207">
        <f>Distt.Minor!G225</f>
        <v>531317.5</v>
      </c>
      <c r="H302" s="207">
        <f>Distt.Minor!H225</f>
        <v>50</v>
      </c>
    </row>
    <row r="303" spans="1:8" ht="17.100000000000001" customHeight="1" x14ac:dyDescent="0.25">
      <c r="A303" s="117">
        <v>14</v>
      </c>
      <c r="B303" s="546" t="s">
        <v>250</v>
      </c>
      <c r="C303" s="190">
        <f>Distt.Minor!C236</f>
        <v>30</v>
      </c>
      <c r="D303" s="190">
        <f>Distt.Minor!D236</f>
        <v>33.619999999999997</v>
      </c>
      <c r="E303" s="190">
        <f>Distt.Minor!E236</f>
        <v>623354</v>
      </c>
      <c r="F303" s="190">
        <f>Distt.Minor!F236</f>
        <v>121554189</v>
      </c>
      <c r="G303" s="190">
        <f>Distt.Minor!G236</f>
        <v>39364086</v>
      </c>
      <c r="H303" s="190">
        <f>Distt.Minor!H236</f>
        <v>200</v>
      </c>
    </row>
    <row r="304" spans="1:8" ht="17.100000000000001" customHeight="1" x14ac:dyDescent="0.25">
      <c r="A304" s="117">
        <v>15</v>
      </c>
      <c r="B304" s="546" t="s">
        <v>252</v>
      </c>
      <c r="C304" s="190">
        <f>Distt.Minor!C282</f>
        <v>974</v>
      </c>
      <c r="D304" s="190">
        <f>Distt.Minor!D282</f>
        <v>988.41000000000008</v>
      </c>
      <c r="E304" s="190">
        <f>Distt.Minor!E282</f>
        <v>22625594</v>
      </c>
      <c r="F304" s="190">
        <f>Distt.Minor!F282</f>
        <v>4873181626</v>
      </c>
      <c r="G304" s="190">
        <f>Distt.Minor!G282</f>
        <v>940082984</v>
      </c>
      <c r="H304" s="190">
        <f>Distt.Minor!H282</f>
        <v>11700</v>
      </c>
    </row>
    <row r="305" spans="1:8" ht="17.100000000000001" customHeight="1" x14ac:dyDescent="0.25">
      <c r="A305" s="117">
        <v>16</v>
      </c>
      <c r="B305" s="546" t="s">
        <v>272</v>
      </c>
      <c r="C305" s="141">
        <f>Distt.Minor!C268</f>
        <v>43</v>
      </c>
      <c r="D305" s="141">
        <f>Distt.Minor!D268</f>
        <v>47.87</v>
      </c>
      <c r="E305" s="141">
        <f>Distt.Minor!E268</f>
        <v>146729.75</v>
      </c>
      <c r="F305" s="141">
        <f>Distt.Minor!F268</f>
        <v>30813247.5</v>
      </c>
      <c r="G305" s="141">
        <f>Distt.Minor!G268</f>
        <v>19498550</v>
      </c>
      <c r="H305" s="141">
        <f>Distt.Minor!H268</f>
        <v>255</v>
      </c>
    </row>
    <row r="306" spans="1:8" ht="17.100000000000001" customHeight="1" x14ac:dyDescent="0.25">
      <c r="A306" s="117">
        <v>17</v>
      </c>
      <c r="B306" s="546" t="s">
        <v>255</v>
      </c>
      <c r="C306" s="117">
        <f>Distt.Minor!C311</f>
        <v>256</v>
      </c>
      <c r="D306" s="117">
        <f>Distt.Minor!D311</f>
        <v>268.93</v>
      </c>
      <c r="E306" s="117">
        <f>Distt.Minor!E311</f>
        <v>1425449</v>
      </c>
      <c r="F306" s="117">
        <f>Distt.Minor!F311</f>
        <v>299344290</v>
      </c>
      <c r="G306" s="117">
        <f>Distt.Minor!G311</f>
        <v>48823267</v>
      </c>
      <c r="H306" s="117">
        <f>Distt.Minor!H311</f>
        <v>3115</v>
      </c>
    </row>
    <row r="307" spans="1:8" ht="17.100000000000001" customHeight="1" x14ac:dyDescent="0.25">
      <c r="A307" s="117">
        <v>18</v>
      </c>
      <c r="B307" s="546" t="s">
        <v>286</v>
      </c>
      <c r="C307" s="215">
        <f>Distt.Minor!C324</f>
        <v>36</v>
      </c>
      <c r="D307" s="215">
        <f>Distt.Minor!D324</f>
        <v>39.1</v>
      </c>
      <c r="E307" s="215">
        <f>Distt.Minor!E324</f>
        <v>1725119</v>
      </c>
      <c r="F307" s="215">
        <f>Distt.Minor!F324</f>
        <v>353649395</v>
      </c>
      <c r="G307" s="215">
        <f>Distt.Minor!G324</f>
        <v>60379165</v>
      </c>
      <c r="H307" s="215">
        <f>Distt.Minor!H324</f>
        <v>150</v>
      </c>
    </row>
    <row r="308" spans="1:8" ht="17.100000000000001" customHeight="1" x14ac:dyDescent="0.25">
      <c r="A308" s="117">
        <v>19</v>
      </c>
      <c r="B308" s="546" t="s">
        <v>256</v>
      </c>
      <c r="C308" s="141">
        <f>Distt.Minor!C342</f>
        <v>361</v>
      </c>
      <c r="D308" s="141">
        <f>Distt.Minor!D342</f>
        <v>471.63</v>
      </c>
      <c r="E308" s="141">
        <f>Distt.Minor!E342</f>
        <v>18758422</v>
      </c>
      <c r="F308" s="141">
        <f>Distt.Minor!F342</f>
        <v>3939268620</v>
      </c>
      <c r="G308" s="141">
        <f>Distt.Minor!G342</f>
        <v>807608000</v>
      </c>
      <c r="H308" s="141">
        <f>Distt.Minor!H342</f>
        <v>3785</v>
      </c>
    </row>
    <row r="309" spans="1:8" ht="17.100000000000001" customHeight="1" x14ac:dyDescent="0.25">
      <c r="A309" s="117">
        <v>20</v>
      </c>
      <c r="B309" s="546" t="s">
        <v>257</v>
      </c>
      <c r="C309" s="117">
        <f>Distt.Minor!C361</f>
        <v>201</v>
      </c>
      <c r="D309" s="117">
        <f>Distt.Minor!D361</f>
        <v>209.76</v>
      </c>
      <c r="E309" s="117">
        <f>Distt.Minor!E361</f>
        <v>7798168.1299999999</v>
      </c>
      <c r="F309" s="117">
        <f>Distt.Minor!F361</f>
        <v>1658047030.95</v>
      </c>
      <c r="G309" s="117">
        <f>Distt.Minor!G361</f>
        <v>207518972</v>
      </c>
      <c r="H309" s="117">
        <f>Distt.Minor!H361</f>
        <v>11660</v>
      </c>
    </row>
    <row r="310" spans="1:8" ht="17.100000000000001" customHeight="1" x14ac:dyDescent="0.25">
      <c r="A310" s="117">
        <v>21</v>
      </c>
      <c r="B310" s="546" t="s">
        <v>273</v>
      </c>
      <c r="C310" s="189">
        <f>Distt.Minor!C376</f>
        <v>96</v>
      </c>
      <c r="D310" s="189">
        <f>Distt.Minor!D376</f>
        <v>207.6</v>
      </c>
      <c r="E310" s="189">
        <f>Distt.Minor!E376</f>
        <v>648732</v>
      </c>
      <c r="F310" s="189">
        <f>Distt.Minor!F376</f>
        <v>116771760</v>
      </c>
      <c r="G310" s="189">
        <f>Distt.Minor!G376</f>
        <v>19461960</v>
      </c>
      <c r="H310" s="189">
        <f>Distt.Minor!H376</f>
        <v>150</v>
      </c>
    </row>
    <row r="311" spans="1:8" ht="17.100000000000001" customHeight="1" x14ac:dyDescent="0.25">
      <c r="A311" s="117">
        <v>22</v>
      </c>
      <c r="B311" s="546" t="s">
        <v>274</v>
      </c>
      <c r="C311" s="116">
        <f>Distt.Minor!C394</f>
        <v>91</v>
      </c>
      <c r="D311" s="116">
        <f>Distt.Minor!D394</f>
        <v>92.97</v>
      </c>
      <c r="E311" s="116">
        <f>Distt.Minor!E394</f>
        <v>2419178</v>
      </c>
      <c r="F311" s="116">
        <f>Distt.Minor!F394</f>
        <v>508027623</v>
      </c>
      <c r="G311" s="116">
        <f>Distt.Minor!G394</f>
        <v>195926112</v>
      </c>
      <c r="H311" s="116">
        <f>Distt.Minor!H394</f>
        <v>284</v>
      </c>
    </row>
    <row r="312" spans="1:8" ht="17.100000000000001" customHeight="1" x14ac:dyDescent="0.25">
      <c r="A312" s="117">
        <v>23</v>
      </c>
      <c r="B312" s="546" t="s">
        <v>259</v>
      </c>
      <c r="C312" s="208">
        <f>Distt.Minor!C406</f>
        <v>614</v>
      </c>
      <c r="D312" s="208">
        <f>Distt.Minor!D406</f>
        <v>619.27</v>
      </c>
      <c r="E312" s="208">
        <f>Distt.Minor!E406</f>
        <v>7937405</v>
      </c>
      <c r="F312" s="208">
        <f>Distt.Minor!F406</f>
        <v>1547794133</v>
      </c>
      <c r="G312" s="208">
        <f>Distt.Minor!G406</f>
        <v>163276564</v>
      </c>
      <c r="H312" s="208">
        <f>Distt.Minor!H406</f>
        <v>1950</v>
      </c>
    </row>
    <row r="313" spans="1:8" ht="17.100000000000001" customHeight="1" x14ac:dyDescent="0.25">
      <c r="A313" s="117">
        <v>24</v>
      </c>
      <c r="B313" s="548" t="s">
        <v>260</v>
      </c>
      <c r="C313" s="133">
        <f>Distt.Minor!C429</f>
        <v>202</v>
      </c>
      <c r="D313" s="133">
        <f>Distt.Minor!D429</f>
        <v>222.74</v>
      </c>
      <c r="E313" s="133">
        <f>Distt.Minor!E429</f>
        <v>2098402</v>
      </c>
      <c r="F313" s="133">
        <f>Distt.Minor!F429</f>
        <v>440664525</v>
      </c>
      <c r="G313" s="133">
        <f>Distt.Minor!G429</f>
        <v>62226532</v>
      </c>
      <c r="H313" s="133">
        <f>Distt.Minor!H429</f>
        <v>2200</v>
      </c>
    </row>
    <row r="314" spans="1:8" ht="17.100000000000001" customHeight="1" x14ac:dyDescent="0.25">
      <c r="A314" s="117">
        <v>25</v>
      </c>
      <c r="B314" s="546" t="s">
        <v>261</v>
      </c>
      <c r="C314" s="209">
        <f>Distt.Minor!C447</f>
        <v>29</v>
      </c>
      <c r="D314" s="209">
        <f>Distt.Minor!D447</f>
        <v>35.19</v>
      </c>
      <c r="E314" s="209">
        <f>Distt.Minor!E447</f>
        <v>601146</v>
      </c>
      <c r="F314" s="209">
        <f>Distt.Minor!F447</f>
        <v>123234930</v>
      </c>
      <c r="G314" s="209">
        <f>Distt.Minor!G447</f>
        <v>19837818</v>
      </c>
      <c r="H314" s="209">
        <f>Distt.Minor!H447</f>
        <v>350</v>
      </c>
    </row>
    <row r="315" spans="1:8" ht="17.100000000000001" customHeight="1" x14ac:dyDescent="0.25">
      <c r="A315" s="117">
        <v>26</v>
      </c>
      <c r="B315" s="546" t="s">
        <v>275</v>
      </c>
      <c r="C315" s="117">
        <f>Distt.Minor!C466</f>
        <v>96</v>
      </c>
      <c r="D315" s="117">
        <f>Distt.Minor!D466</f>
        <v>105.5534</v>
      </c>
      <c r="E315" s="117">
        <f>Distt.Minor!E466</f>
        <v>11001677</v>
      </c>
      <c r="F315" s="117">
        <f>Distt.Minor!F466</f>
        <v>2938502350</v>
      </c>
      <c r="G315" s="117">
        <f>Distt.Minor!G466</f>
        <v>95021657</v>
      </c>
      <c r="H315" s="117">
        <f>Distt.Minor!H466</f>
        <v>1590</v>
      </c>
    </row>
    <row r="316" spans="1:8" ht="17.100000000000001" customHeight="1" x14ac:dyDescent="0.25">
      <c r="A316" s="117">
        <v>27</v>
      </c>
      <c r="B316" s="547" t="s">
        <v>276</v>
      </c>
      <c r="C316" s="141">
        <f>Distt.Minor!C489</f>
        <v>43</v>
      </c>
      <c r="D316" s="141">
        <f>Distt.Minor!D489</f>
        <v>102.44</v>
      </c>
      <c r="E316" s="141">
        <f>Distt.Minor!E489</f>
        <v>850083</v>
      </c>
      <c r="F316" s="141">
        <f>Distt.Minor!F489</f>
        <v>178517610</v>
      </c>
      <c r="G316" s="141">
        <f>Distt.Minor!G489</f>
        <v>59605810</v>
      </c>
      <c r="H316" s="141">
        <f>Distt.Minor!H489</f>
        <v>540</v>
      </c>
    </row>
    <row r="317" spans="1:8" ht="17.100000000000001" customHeight="1" x14ac:dyDescent="0.25">
      <c r="A317" s="117">
        <v>28</v>
      </c>
      <c r="B317" s="546" t="s">
        <v>264</v>
      </c>
      <c r="C317" s="133">
        <f>Distt.Minor!C517</f>
        <v>521</v>
      </c>
      <c r="D317" s="133">
        <f>Distt.Minor!D517</f>
        <v>649.35</v>
      </c>
      <c r="E317" s="133">
        <f>Distt.Minor!E517</f>
        <v>20017232</v>
      </c>
      <c r="F317" s="133">
        <f>Distt.Minor!F517</f>
        <v>3780727263.5105352</v>
      </c>
      <c r="G317" s="133">
        <f>Distt.Minor!G517</f>
        <v>932111464</v>
      </c>
      <c r="H317" s="133">
        <f>Distt.Minor!H517</f>
        <v>3900</v>
      </c>
    </row>
    <row r="318" spans="1:8" ht="17.100000000000001" customHeight="1" x14ac:dyDescent="0.25">
      <c r="A318" s="117">
        <v>29</v>
      </c>
      <c r="B318" s="546" t="s">
        <v>265</v>
      </c>
      <c r="C318" s="117">
        <f>Distt.Minor!C540</f>
        <v>119</v>
      </c>
      <c r="D318" s="117">
        <f>Distt.Minor!D540</f>
        <v>130.25</v>
      </c>
      <c r="E318" s="117">
        <f>Distt.Minor!E540</f>
        <v>1235252</v>
      </c>
      <c r="F318" s="117">
        <f>Distt.Minor!F540</f>
        <v>247050510</v>
      </c>
      <c r="G318" s="117">
        <f>Distt.Minor!G540</f>
        <v>40788141</v>
      </c>
      <c r="H318" s="117">
        <f>Distt.Minor!H540</f>
        <v>762</v>
      </c>
    </row>
    <row r="319" spans="1:8" ht="17.100000000000001" customHeight="1" x14ac:dyDescent="0.25">
      <c r="A319" s="117">
        <v>30</v>
      </c>
      <c r="B319" s="546" t="s">
        <v>278</v>
      </c>
      <c r="C319" s="141">
        <f>Distt.Minor!C553</f>
        <v>65</v>
      </c>
      <c r="D319" s="141">
        <f>Distt.Minor!D553</f>
        <v>68.69</v>
      </c>
      <c r="E319" s="141">
        <f>Distt.Minor!E553</f>
        <v>355472</v>
      </c>
      <c r="F319" s="141">
        <f>Distt.Minor!F553</f>
        <v>74649120</v>
      </c>
      <c r="G319" s="141">
        <f>Distt.Minor!G553</f>
        <v>12441520</v>
      </c>
      <c r="H319" s="141">
        <f>Distt.Minor!H553</f>
        <v>550</v>
      </c>
    </row>
    <row r="320" spans="1:8" ht="17.100000000000001" customHeight="1" x14ac:dyDescent="0.25">
      <c r="A320" s="117">
        <v>31</v>
      </c>
      <c r="B320" s="546" t="s">
        <v>267</v>
      </c>
      <c r="C320" s="117">
        <f>Distt.Minor!C576</f>
        <v>166</v>
      </c>
      <c r="D320" s="117">
        <f>Distt.Minor!D576</f>
        <v>181.93</v>
      </c>
      <c r="E320" s="117">
        <f>Distt.Minor!E576</f>
        <v>3377250</v>
      </c>
      <c r="F320" s="117">
        <f>Distt.Minor!F576</f>
        <v>675482190</v>
      </c>
      <c r="G320" s="117">
        <f>Distt.Minor!G576</f>
        <v>142068224</v>
      </c>
      <c r="H320" s="117">
        <f>Distt.Minor!H576</f>
        <v>1250</v>
      </c>
    </row>
    <row r="321" spans="1:15" ht="17.100000000000001" customHeight="1" x14ac:dyDescent="0.25">
      <c r="A321" s="1300" t="s">
        <v>50</v>
      </c>
      <c r="B321" s="1301"/>
      <c r="C321" s="35">
        <f t="shared" ref="C321:H321" si="40">SUM(C290:C320)</f>
        <v>6093</v>
      </c>
      <c r="D321" s="34">
        <f t="shared" si="40"/>
        <v>6964.3207999999995</v>
      </c>
      <c r="E321" s="33">
        <f t="shared" si="40"/>
        <v>153132870.38</v>
      </c>
      <c r="F321" s="33">
        <f t="shared" si="40"/>
        <v>31677843228.460537</v>
      </c>
      <c r="G321" s="33">
        <f t="shared" si="40"/>
        <v>6596107814.5</v>
      </c>
      <c r="H321" s="33">
        <f t="shared" si="40"/>
        <v>61990</v>
      </c>
      <c r="J321" s="242">
        <f>'Minor Minerals'!C390</f>
        <v>6093</v>
      </c>
      <c r="K321" s="242">
        <f>'Minor Minerals'!D390</f>
        <v>6964.3207999999986</v>
      </c>
      <c r="L321" s="242">
        <f>'Minor Minerals'!E390</f>
        <v>153132870.38</v>
      </c>
      <c r="M321" s="242">
        <f>'Minor Minerals'!F390</f>
        <v>31677843228.460537</v>
      </c>
      <c r="N321" s="242">
        <f>'Minor Minerals'!G390</f>
        <v>6596107814.5</v>
      </c>
      <c r="O321" s="242">
        <f>'Minor Minerals'!H390</f>
        <v>61990</v>
      </c>
    </row>
    <row r="322" spans="1:15" ht="17.100000000000001" customHeight="1" x14ac:dyDescent="0.25">
      <c r="A322" s="136"/>
      <c r="B322" s="136"/>
      <c r="C322" s="136"/>
      <c r="D322" s="136"/>
      <c r="E322" s="136"/>
      <c r="F322" s="136"/>
      <c r="G322" s="136"/>
      <c r="H322" s="136"/>
      <c r="J322" s="128">
        <f t="shared" ref="J322:O322" si="41">J321-C321</f>
        <v>0</v>
      </c>
      <c r="K322" s="128">
        <f t="shared" si="41"/>
        <v>0</v>
      </c>
      <c r="L322" s="128">
        <f t="shared" si="41"/>
        <v>0</v>
      </c>
      <c r="M322" s="128">
        <f t="shared" si="41"/>
        <v>0</v>
      </c>
      <c r="N322" s="128">
        <f>N321-G321</f>
        <v>0</v>
      </c>
      <c r="O322" s="128">
        <f t="shared" si="41"/>
        <v>0</v>
      </c>
    </row>
    <row r="323" spans="1:15" ht="17.100000000000001" customHeight="1" x14ac:dyDescent="0.3">
      <c r="A323" s="1142" t="s">
        <v>37</v>
      </c>
      <c r="B323" s="1142"/>
      <c r="C323" s="1142"/>
      <c r="D323" s="1142"/>
      <c r="E323" s="1142"/>
      <c r="F323" s="1142"/>
      <c r="G323" s="1142"/>
      <c r="H323" s="1142"/>
    </row>
    <row r="324" spans="1:15" ht="17.100000000000001" customHeight="1" x14ac:dyDescent="0.25">
      <c r="A324" s="1122" t="s">
        <v>2</v>
      </c>
      <c r="B324" s="1124" t="s">
        <v>270</v>
      </c>
      <c r="C324" s="249" t="s">
        <v>4</v>
      </c>
      <c r="D324" s="249" t="s">
        <v>5</v>
      </c>
      <c r="E324" s="249" t="s">
        <v>6</v>
      </c>
      <c r="F324" s="249" t="s">
        <v>7</v>
      </c>
      <c r="G324" s="249" t="s">
        <v>8</v>
      </c>
      <c r="H324" s="249" t="s">
        <v>9</v>
      </c>
      <c r="N324" s="128"/>
    </row>
    <row r="325" spans="1:15" ht="17.100000000000001" customHeight="1" x14ac:dyDescent="0.25">
      <c r="A325" s="1123"/>
      <c r="B325" s="1125"/>
      <c r="C325" s="2" t="s">
        <v>10</v>
      </c>
      <c r="D325" s="2" t="s">
        <v>78</v>
      </c>
      <c r="E325" s="2" t="s">
        <v>79</v>
      </c>
      <c r="F325" s="52" t="s">
        <v>80</v>
      </c>
      <c r="G325" s="52" t="s">
        <v>80</v>
      </c>
      <c r="H325" s="2" t="s">
        <v>13</v>
      </c>
    </row>
    <row r="326" spans="1:15" ht="17.100000000000001" customHeight="1" x14ac:dyDescent="0.25">
      <c r="A326" s="133">
        <v>1</v>
      </c>
      <c r="B326" s="3" t="s">
        <v>240</v>
      </c>
      <c r="C326" s="116">
        <f>Distt.Minor!C18</f>
        <v>29</v>
      </c>
      <c r="D326" s="116">
        <f>Distt.Minor!D18</f>
        <v>153</v>
      </c>
      <c r="E326" s="116">
        <f>Distt.Minor!E18</f>
        <v>17837</v>
      </c>
      <c r="F326" s="116">
        <f>Distt.Minor!F18</f>
        <v>34782150</v>
      </c>
      <c r="G326" s="116">
        <f>Distt.Minor!G18</f>
        <v>52287798</v>
      </c>
      <c r="H326" s="116">
        <f>Distt.Minor!H18</f>
        <v>300</v>
      </c>
    </row>
    <row r="327" spans="1:15" ht="17.100000000000001" customHeight="1" x14ac:dyDescent="0.25">
      <c r="A327" s="133">
        <v>2</v>
      </c>
      <c r="B327" s="3" t="s">
        <v>245</v>
      </c>
      <c r="C327" s="133">
        <f>Distt.Minor!C119</f>
        <v>1</v>
      </c>
      <c r="D327" s="133">
        <f>Distt.Minor!D119</f>
        <v>5</v>
      </c>
      <c r="E327" s="133">
        <f>Distt.Minor!E119</f>
        <v>0</v>
      </c>
      <c r="F327" s="133">
        <f>Distt.Minor!F119</f>
        <v>0</v>
      </c>
      <c r="G327" s="133">
        <f>Distt.Minor!G119</f>
        <v>0</v>
      </c>
      <c r="H327" s="133">
        <f>Distt.Minor!H119</f>
        <v>0</v>
      </c>
    </row>
    <row r="328" spans="1:15" ht="17.100000000000001" customHeight="1" x14ac:dyDescent="0.25">
      <c r="A328" s="133">
        <v>3</v>
      </c>
      <c r="B328" s="19" t="s">
        <v>252</v>
      </c>
      <c r="C328" s="133">
        <f>Distt.Minor!C300</f>
        <v>1</v>
      </c>
      <c r="D328" s="133">
        <f>Distt.Minor!D300</f>
        <v>4.9800000000000004</v>
      </c>
      <c r="E328" s="133">
        <f>Distt.Minor!E300</f>
        <v>0</v>
      </c>
      <c r="F328" s="133">
        <f>Distt.Minor!F300</f>
        <v>0</v>
      </c>
      <c r="G328" s="133">
        <f>Distt.Minor!G300</f>
        <v>0</v>
      </c>
      <c r="H328" s="133">
        <f>Distt.Minor!H300</f>
        <v>0</v>
      </c>
    </row>
    <row r="329" spans="1:15" ht="17.100000000000001" customHeight="1" x14ac:dyDescent="0.25">
      <c r="A329" s="133">
        <v>4</v>
      </c>
      <c r="B329" s="628" t="s">
        <v>476</v>
      </c>
      <c r="C329" s="133">
        <f>Distt.Minor!C476</f>
        <v>2</v>
      </c>
      <c r="D329" s="133">
        <f>Distt.Minor!D476</f>
        <v>9.8800000000000008</v>
      </c>
      <c r="E329" s="133">
        <f>Distt.Minor!E476</f>
        <v>635</v>
      </c>
      <c r="F329" s="133">
        <f>Distt.Minor!F476</f>
        <v>1238250</v>
      </c>
      <c r="G329" s="133">
        <f>Distt.Minor!G476</f>
        <v>489653</v>
      </c>
      <c r="H329" s="133">
        <f>Distt.Minor!H476</f>
        <v>10</v>
      </c>
    </row>
    <row r="330" spans="1:15" ht="17.100000000000001" customHeight="1" x14ac:dyDescent="0.25">
      <c r="A330" s="133">
        <v>5</v>
      </c>
      <c r="B330" s="628" t="s">
        <v>278</v>
      </c>
      <c r="C330" s="133">
        <f>Distt.Minor!C562</f>
        <v>12</v>
      </c>
      <c r="D330" s="133">
        <f>Distt.Minor!D562</f>
        <v>60.75</v>
      </c>
      <c r="E330" s="133">
        <f>Distt.Minor!E562</f>
        <v>5420</v>
      </c>
      <c r="F330" s="133">
        <f>Distt.Minor!F562</f>
        <v>9756000</v>
      </c>
      <c r="G330" s="133">
        <f>Distt.Minor!G562</f>
        <v>650400</v>
      </c>
      <c r="H330" s="133">
        <f>Distt.Minor!H562</f>
        <v>0</v>
      </c>
    </row>
    <row r="331" spans="1:15" ht="17.100000000000001" customHeight="1" x14ac:dyDescent="0.25">
      <c r="A331" s="1300" t="s">
        <v>50</v>
      </c>
      <c r="B331" s="1301"/>
      <c r="C331" s="4">
        <f>SUM(C326:C330)</f>
        <v>45</v>
      </c>
      <c r="D331" s="4">
        <f t="shared" ref="D331:H331" si="42">SUM(D326:D330)</f>
        <v>233.60999999999999</v>
      </c>
      <c r="E331" s="4">
        <f t="shared" si="42"/>
        <v>23892</v>
      </c>
      <c r="F331" s="4">
        <f t="shared" si="42"/>
        <v>45776400</v>
      </c>
      <c r="G331" s="4">
        <f t="shared" si="42"/>
        <v>53427851</v>
      </c>
      <c r="H331" s="4">
        <f t="shared" si="42"/>
        <v>310</v>
      </c>
      <c r="J331" s="238">
        <f>'Minor Minerals'!C401</f>
        <v>45</v>
      </c>
      <c r="K331" s="238">
        <f>'Minor Minerals'!D401</f>
        <v>233.60999999999999</v>
      </c>
      <c r="L331" s="238">
        <f>'Minor Minerals'!E401</f>
        <v>23892</v>
      </c>
      <c r="M331" s="238">
        <f>'Minor Minerals'!F401</f>
        <v>45776400</v>
      </c>
      <c r="N331" s="238">
        <f>'Minor Minerals'!G401</f>
        <v>53427851</v>
      </c>
      <c r="O331" s="238">
        <f>'Minor Minerals'!H401</f>
        <v>310</v>
      </c>
    </row>
    <row r="332" spans="1:15" ht="17.100000000000001" customHeight="1" x14ac:dyDescent="0.25">
      <c r="A332" s="136"/>
      <c r="B332" s="136"/>
      <c r="C332" s="136"/>
      <c r="D332" s="136"/>
      <c r="E332" s="136"/>
      <c r="F332" s="136"/>
      <c r="G332" s="136"/>
      <c r="H332" s="136"/>
      <c r="J332" s="128">
        <f>J331-C331</f>
        <v>0</v>
      </c>
      <c r="K332" s="128">
        <f t="shared" ref="K332:O332" si="43">K331-D331</f>
        <v>0</v>
      </c>
      <c r="L332" s="128">
        <f t="shared" si="43"/>
        <v>0</v>
      </c>
      <c r="M332" s="128">
        <f t="shared" si="43"/>
        <v>0</v>
      </c>
      <c r="N332" s="128">
        <f t="shared" si="43"/>
        <v>0</v>
      </c>
      <c r="O332" s="128">
        <f t="shared" si="43"/>
        <v>0</v>
      </c>
    </row>
    <row r="333" spans="1:15" ht="17.100000000000001" customHeight="1" x14ac:dyDescent="0.3">
      <c r="A333" s="1142" t="s">
        <v>379</v>
      </c>
      <c r="B333" s="1142"/>
      <c r="C333" s="1142"/>
      <c r="D333" s="1142"/>
      <c r="E333" s="1142"/>
      <c r="F333" s="1142"/>
      <c r="G333" s="1142"/>
      <c r="H333" s="1142"/>
    </row>
    <row r="334" spans="1:15" ht="17.100000000000001" customHeight="1" x14ac:dyDescent="0.25">
      <c r="A334" s="1122" t="s">
        <v>2</v>
      </c>
      <c r="B334" s="1124" t="s">
        <v>270</v>
      </c>
      <c r="C334" s="249" t="s">
        <v>4</v>
      </c>
      <c r="D334" s="249" t="s">
        <v>5</v>
      </c>
      <c r="E334" s="249" t="s">
        <v>6</v>
      </c>
      <c r="F334" s="249" t="s">
        <v>7</v>
      </c>
      <c r="G334" s="249" t="s">
        <v>8</v>
      </c>
      <c r="H334" s="249" t="s">
        <v>9</v>
      </c>
    </row>
    <row r="335" spans="1:15" ht="17.100000000000001" customHeight="1" x14ac:dyDescent="0.25">
      <c r="A335" s="1123"/>
      <c r="B335" s="1125"/>
      <c r="C335" s="2" t="s">
        <v>10</v>
      </c>
      <c r="D335" s="2" t="s">
        <v>78</v>
      </c>
      <c r="E335" s="2" t="s">
        <v>79</v>
      </c>
      <c r="F335" s="52" t="s">
        <v>80</v>
      </c>
      <c r="G335" s="52" t="s">
        <v>80</v>
      </c>
      <c r="H335" s="2" t="s">
        <v>13</v>
      </c>
    </row>
    <row r="336" spans="1:15" ht="17.100000000000001" customHeight="1" x14ac:dyDescent="0.25">
      <c r="A336" s="133">
        <v>1</v>
      </c>
      <c r="B336" s="3" t="s">
        <v>244</v>
      </c>
      <c r="C336" s="116">
        <f>Distt.Minor!C97</f>
        <v>2</v>
      </c>
      <c r="D336" s="116">
        <f>Distt.Minor!D97</f>
        <v>965.94</v>
      </c>
      <c r="E336" s="116">
        <f>Distt.Minor!E97</f>
        <v>0</v>
      </c>
      <c r="F336" s="116">
        <f>Distt.Minor!F97</f>
        <v>0</v>
      </c>
      <c r="G336" s="116">
        <f>Distt.Minor!G97</f>
        <v>0</v>
      </c>
      <c r="H336" s="116">
        <f>Distt.Minor!H97</f>
        <v>0</v>
      </c>
    </row>
    <row r="337" spans="1:15" ht="17.100000000000001" customHeight="1" x14ac:dyDescent="0.25">
      <c r="A337" s="133">
        <v>2</v>
      </c>
      <c r="B337" s="3" t="s">
        <v>288</v>
      </c>
      <c r="C337" s="133">
        <f>Distt.Minor!C375</f>
        <v>2</v>
      </c>
      <c r="D337" s="133">
        <f>Distt.Minor!D375</f>
        <v>6.23</v>
      </c>
      <c r="E337" s="133">
        <f>Distt.Minor!E375</f>
        <v>0</v>
      </c>
      <c r="F337" s="133">
        <f>Distt.Minor!F375</f>
        <v>0</v>
      </c>
      <c r="G337" s="133">
        <f>Distt.Minor!G375</f>
        <v>0</v>
      </c>
      <c r="H337" s="133">
        <f>Distt.Minor!H375</f>
        <v>0</v>
      </c>
    </row>
    <row r="338" spans="1:15" ht="17.100000000000001" customHeight="1" x14ac:dyDescent="0.25">
      <c r="A338" s="1300" t="s">
        <v>50</v>
      </c>
      <c r="B338" s="1301"/>
      <c r="C338" s="4">
        <f t="shared" ref="C338:H338" si="44">SUM(C336:C337)</f>
        <v>4</v>
      </c>
      <c r="D338" s="5">
        <f t="shared" si="44"/>
        <v>972.17000000000007</v>
      </c>
      <c r="E338" s="7">
        <f t="shared" si="44"/>
        <v>0</v>
      </c>
      <c r="F338" s="7">
        <f t="shared" si="44"/>
        <v>0</v>
      </c>
      <c r="G338" s="7">
        <f t="shared" si="44"/>
        <v>0</v>
      </c>
      <c r="H338" s="4">
        <f t="shared" si="44"/>
        <v>0</v>
      </c>
      <c r="J338" s="238">
        <f>'Minor Minerals'!C408</f>
        <v>4</v>
      </c>
      <c r="K338" s="238">
        <f>'Minor Minerals'!D408</f>
        <v>972.17000000000007</v>
      </c>
      <c r="L338" s="238">
        <f>'Minor Minerals'!E408</f>
        <v>0</v>
      </c>
      <c r="M338" s="238">
        <f>'Minor Minerals'!F408</f>
        <v>0</v>
      </c>
      <c r="N338" s="238">
        <f>'Minor Minerals'!G408</f>
        <v>0</v>
      </c>
      <c r="O338" s="238">
        <f>'Minor Minerals'!H408</f>
        <v>0</v>
      </c>
    </row>
    <row r="339" spans="1:15" ht="17.100000000000001" customHeight="1" x14ac:dyDescent="0.25">
      <c r="A339" s="136"/>
      <c r="B339" s="136"/>
      <c r="C339" s="136"/>
      <c r="D339" s="136"/>
      <c r="E339" s="136"/>
      <c r="F339" s="136"/>
      <c r="G339" s="136"/>
      <c r="H339" s="136"/>
      <c r="J339" s="128">
        <f>J338-C338</f>
        <v>0</v>
      </c>
      <c r="K339" s="128">
        <f t="shared" ref="K339:O339" si="45">K338-D338</f>
        <v>0</v>
      </c>
      <c r="L339" s="128">
        <f t="shared" si="45"/>
        <v>0</v>
      </c>
      <c r="M339" s="128">
        <f t="shared" si="45"/>
        <v>0</v>
      </c>
      <c r="N339" s="128">
        <f t="shared" si="45"/>
        <v>0</v>
      </c>
      <c r="O339" s="128">
        <f t="shared" si="45"/>
        <v>0</v>
      </c>
    </row>
    <row r="340" spans="1:15" ht="17.100000000000001" customHeight="1" x14ac:dyDescent="0.25">
      <c r="A340" s="1155" t="s">
        <v>65</v>
      </c>
      <c r="B340" s="1155"/>
      <c r="C340" s="1155"/>
      <c r="D340" s="1155"/>
      <c r="E340" s="1155"/>
      <c r="F340" s="1155"/>
      <c r="G340" s="1155"/>
      <c r="H340" s="1155"/>
    </row>
    <row r="341" spans="1:15" ht="17.100000000000001" customHeight="1" x14ac:dyDescent="0.25">
      <c r="A341" s="1122" t="s">
        <v>2</v>
      </c>
      <c r="B341" s="1124" t="s">
        <v>270</v>
      </c>
      <c r="C341" s="249" t="s">
        <v>4</v>
      </c>
      <c r="D341" s="249" t="s">
        <v>5</v>
      </c>
      <c r="E341" s="249" t="s">
        <v>6</v>
      </c>
      <c r="F341" s="249" t="s">
        <v>7</v>
      </c>
      <c r="G341" s="249" t="s">
        <v>8</v>
      </c>
      <c r="H341" s="249" t="s">
        <v>9</v>
      </c>
    </row>
    <row r="342" spans="1:15" ht="17.100000000000001" customHeight="1" x14ac:dyDescent="0.25">
      <c r="A342" s="1123"/>
      <c r="B342" s="1125"/>
      <c r="C342" s="2" t="s">
        <v>10</v>
      </c>
      <c r="D342" s="2" t="s">
        <v>52</v>
      </c>
      <c r="E342" s="2" t="s">
        <v>79</v>
      </c>
      <c r="F342" s="52" t="s">
        <v>80</v>
      </c>
      <c r="G342" s="52" t="s">
        <v>80</v>
      </c>
      <c r="H342" s="2" t="s">
        <v>13</v>
      </c>
    </row>
    <row r="343" spans="1:15" ht="17.100000000000001" customHeight="1" x14ac:dyDescent="0.25">
      <c r="A343" s="133">
        <v>1</v>
      </c>
      <c r="B343" s="188" t="s">
        <v>240</v>
      </c>
      <c r="C343" s="133">
        <f>Distt.Minor!C19</f>
        <v>0</v>
      </c>
      <c r="D343" s="133">
        <f>Distt.Minor!D19</f>
        <v>0</v>
      </c>
      <c r="E343" s="133">
        <f>Distt.Minor!E19</f>
        <v>579900</v>
      </c>
      <c r="F343" s="133">
        <f>Distt.Minor!F19</f>
        <v>14497510</v>
      </c>
      <c r="G343" s="133">
        <f>Distt.Minor!G19</f>
        <v>2653605</v>
      </c>
      <c r="H343" s="133">
        <f>Distt.Minor!H19</f>
        <v>44</v>
      </c>
      <c r="J343" s="123" t="s">
        <v>637</v>
      </c>
    </row>
    <row r="344" spans="1:15" ht="17.100000000000001" customHeight="1" x14ac:dyDescent="0.25">
      <c r="A344" s="133">
        <v>2</v>
      </c>
      <c r="B344" s="188" t="s">
        <v>282</v>
      </c>
      <c r="C344" s="204">
        <f>Distt.Minor!C85</f>
        <v>0</v>
      </c>
      <c r="D344" s="204">
        <f>Distt.Minor!D85</f>
        <v>0</v>
      </c>
      <c r="E344" s="204">
        <f>Distt.Minor!E85</f>
        <v>385979.18599999999</v>
      </c>
      <c r="F344" s="204">
        <f>Distt.Minor!F85</f>
        <v>13509271.461999999</v>
      </c>
      <c r="G344" s="204">
        <f>Distt.Minor!G85</f>
        <v>2418683</v>
      </c>
      <c r="H344" s="204">
        <f>Distt.Minor!H85</f>
        <v>50</v>
      </c>
      <c r="J344" s="123" t="s">
        <v>637</v>
      </c>
    </row>
    <row r="345" spans="1:15" ht="17.100000000000001" customHeight="1" x14ac:dyDescent="0.25">
      <c r="A345" s="133">
        <v>3</v>
      </c>
      <c r="B345" s="226" t="s">
        <v>243</v>
      </c>
      <c r="C345" s="204">
        <f>Distt.Minor!C73</f>
        <v>0</v>
      </c>
      <c r="D345" s="204">
        <f>Distt.Minor!D73</f>
        <v>0</v>
      </c>
      <c r="E345" s="204">
        <f>Distt.Minor!E73</f>
        <v>0</v>
      </c>
      <c r="F345" s="204">
        <f>Distt.Minor!F73</f>
        <v>0</v>
      </c>
      <c r="G345" s="204">
        <f>Distt.Minor!G73</f>
        <v>0</v>
      </c>
      <c r="H345" s="204">
        <f>Distt.Minor!H73</f>
        <v>0</v>
      </c>
    </row>
    <row r="346" spans="1:15" ht="17.100000000000001" customHeight="1" x14ac:dyDescent="0.25">
      <c r="A346" s="133">
        <v>4</v>
      </c>
      <c r="B346" s="226" t="s">
        <v>244</v>
      </c>
      <c r="C346" s="204">
        <f>Distt.Minor!C98</f>
        <v>3</v>
      </c>
      <c r="D346" s="204">
        <f>Distt.Minor!D98</f>
        <v>2</v>
      </c>
      <c r="E346" s="204">
        <f>Distt.Minor!E98</f>
        <v>274000</v>
      </c>
      <c r="F346" s="204">
        <f>Distt.Minor!F98</f>
        <v>9590000</v>
      </c>
      <c r="G346" s="204">
        <f>Distt.Minor!G98</f>
        <v>2379640</v>
      </c>
      <c r="H346" s="204">
        <f>Distt.Minor!H98</f>
        <v>10</v>
      </c>
    </row>
    <row r="347" spans="1:15" ht="17.100000000000001" customHeight="1" x14ac:dyDescent="0.25">
      <c r="A347" s="133">
        <v>5</v>
      </c>
      <c r="B347" s="226" t="s">
        <v>248</v>
      </c>
      <c r="C347" s="141">
        <f>Distt.Minor!C175</f>
        <v>0</v>
      </c>
      <c r="D347" s="141">
        <f>Distt.Minor!D175</f>
        <v>0</v>
      </c>
      <c r="E347" s="141">
        <f>Distt.Minor!E175</f>
        <v>148794</v>
      </c>
      <c r="F347" s="141">
        <f>Distt.Minor!F175</f>
        <v>4166232</v>
      </c>
      <c r="G347" s="141">
        <f>Distt.Minor!G175</f>
        <v>15954867</v>
      </c>
      <c r="H347" s="141">
        <f>Distt.Minor!H175</f>
        <v>50</v>
      </c>
      <c r="J347" s="123" t="s">
        <v>637</v>
      </c>
    </row>
    <row r="348" spans="1:15" ht="17.100000000000001" customHeight="1" x14ac:dyDescent="0.25">
      <c r="A348" s="133">
        <v>6</v>
      </c>
      <c r="B348" s="226" t="s">
        <v>249</v>
      </c>
      <c r="C348" s="141">
        <f>Distt.Minor!C208</f>
        <v>0</v>
      </c>
      <c r="D348" s="141">
        <f>Distt.Minor!D208</f>
        <v>0</v>
      </c>
      <c r="E348" s="141">
        <f>Distt.Minor!E208</f>
        <v>3431006</v>
      </c>
      <c r="F348" s="141">
        <f>Distt.Minor!F208</f>
        <v>85775150</v>
      </c>
      <c r="G348" s="141">
        <f>Distt.Minor!G208</f>
        <v>22624619</v>
      </c>
      <c r="H348" s="141">
        <f>Distt.Minor!H208</f>
        <v>150</v>
      </c>
    </row>
    <row r="349" spans="1:15" ht="17.100000000000001" customHeight="1" x14ac:dyDescent="0.25">
      <c r="A349" s="133">
        <v>7</v>
      </c>
      <c r="B349" s="188" t="s">
        <v>257</v>
      </c>
      <c r="C349" s="141">
        <f>Distt.Minor!C363</f>
        <v>3</v>
      </c>
      <c r="D349" s="141">
        <f>Distt.Minor!D363</f>
        <v>3</v>
      </c>
      <c r="E349" s="141">
        <f>Distt.Minor!E363</f>
        <v>1231335.5</v>
      </c>
      <c r="F349" s="141">
        <f>Distt.Minor!F363</f>
        <v>39364534</v>
      </c>
      <c r="G349" s="141">
        <f>Distt.Minor!G363</f>
        <v>7483259</v>
      </c>
      <c r="H349" s="141">
        <f>Distt.Minor!H363</f>
        <v>1987</v>
      </c>
    </row>
    <row r="350" spans="1:15" ht="17.100000000000001" customHeight="1" x14ac:dyDescent="0.25">
      <c r="A350" s="133">
        <v>8</v>
      </c>
      <c r="B350" s="188" t="s">
        <v>252</v>
      </c>
      <c r="C350" s="141">
        <f>Distt.Minor!C284</f>
        <v>0</v>
      </c>
      <c r="D350" s="141">
        <f>Distt.Minor!D284</f>
        <v>0</v>
      </c>
      <c r="E350" s="141">
        <f>Distt.Minor!E284</f>
        <v>2095</v>
      </c>
      <c r="F350" s="141">
        <f>Distt.Minor!F284</f>
        <v>73325</v>
      </c>
      <c r="G350" s="141">
        <f>Distt.Minor!G284</f>
        <v>1143150</v>
      </c>
      <c r="H350" s="141">
        <f>Distt.Minor!H284</f>
        <v>10</v>
      </c>
    </row>
    <row r="351" spans="1:15" ht="17.100000000000001" customHeight="1" x14ac:dyDescent="0.25">
      <c r="A351" s="133">
        <v>9</v>
      </c>
      <c r="B351" s="188" t="s">
        <v>613</v>
      </c>
      <c r="C351" s="218">
        <f>Distt.Minor!C315</f>
        <v>0</v>
      </c>
      <c r="D351" s="218">
        <f>Distt.Minor!D315</f>
        <v>0</v>
      </c>
      <c r="E351" s="218">
        <f>Distt.Minor!E315</f>
        <v>599994</v>
      </c>
      <c r="F351" s="218">
        <f>Distt.Minor!F315</f>
        <v>20999790</v>
      </c>
      <c r="G351" s="218">
        <f>Distt.Minor!G315</f>
        <v>6553870</v>
      </c>
      <c r="H351" s="218">
        <f>Distt.Minor!H315</f>
        <v>1202</v>
      </c>
    </row>
    <row r="352" spans="1:15" ht="17.100000000000001" customHeight="1" x14ac:dyDescent="0.25">
      <c r="A352" s="133">
        <v>10</v>
      </c>
      <c r="B352" s="188" t="s">
        <v>260</v>
      </c>
      <c r="C352" s="141">
        <f>Distt.Minor!C430</f>
        <v>0</v>
      </c>
      <c r="D352" s="141">
        <f>Distt.Minor!D430</f>
        <v>0</v>
      </c>
      <c r="E352" s="141">
        <f>Distt.Minor!E430</f>
        <v>3540398</v>
      </c>
      <c r="F352" s="141">
        <f>Distt.Minor!F430</f>
        <v>99131125</v>
      </c>
      <c r="G352" s="141">
        <f>Distt.Minor!G430</f>
        <v>5289510</v>
      </c>
      <c r="H352" s="141">
        <f>Distt.Minor!H430</f>
        <v>250</v>
      </c>
    </row>
    <row r="353" spans="1:15" ht="17.100000000000001" customHeight="1" x14ac:dyDescent="0.25">
      <c r="A353" s="133">
        <v>11</v>
      </c>
      <c r="B353" s="188" t="s">
        <v>254</v>
      </c>
      <c r="C353" s="141">
        <f>Distt.Minor!C272</f>
        <v>2</v>
      </c>
      <c r="D353" s="141">
        <f>Distt.Minor!D272</f>
        <v>2</v>
      </c>
      <c r="E353" s="141">
        <f>Distt.Minor!E272</f>
        <v>89213</v>
      </c>
      <c r="F353" s="141">
        <f>Distt.Minor!F272</f>
        <v>2497969</v>
      </c>
      <c r="G353" s="141">
        <f>Distt.Minor!G272</f>
        <v>1998375</v>
      </c>
      <c r="H353" s="141">
        <f>Distt.Minor!H272</f>
        <v>50</v>
      </c>
    </row>
    <row r="354" spans="1:15" ht="17.100000000000001" customHeight="1" x14ac:dyDescent="0.25">
      <c r="A354" s="133">
        <v>12</v>
      </c>
      <c r="B354" s="188" t="s">
        <v>286</v>
      </c>
      <c r="C354" s="189">
        <f>Distt.Minor!C330</f>
        <v>0</v>
      </c>
      <c r="D354" s="189">
        <f>Distt.Minor!D330</f>
        <v>0</v>
      </c>
      <c r="E354" s="189">
        <f>Distt.Minor!E330</f>
        <v>906102</v>
      </c>
      <c r="F354" s="189">
        <f>Distt.Minor!F330</f>
        <v>22652550</v>
      </c>
      <c r="G354" s="189">
        <f>Distt.Minor!G330</f>
        <v>5436000</v>
      </c>
      <c r="H354" s="189">
        <f>Distt.Minor!H330</f>
        <v>75</v>
      </c>
    </row>
    <row r="355" spans="1:15" ht="17.100000000000001" customHeight="1" x14ac:dyDescent="0.25">
      <c r="A355" s="133">
        <v>13</v>
      </c>
      <c r="B355" s="188" t="s">
        <v>265</v>
      </c>
      <c r="C355" s="189">
        <f>Distt.Minor!C544</f>
        <v>0</v>
      </c>
      <c r="D355" s="189">
        <f>Distt.Minor!D544</f>
        <v>0</v>
      </c>
      <c r="E355" s="189">
        <f>Distt.Minor!E544</f>
        <v>13478</v>
      </c>
      <c r="F355" s="189">
        <f>Distt.Minor!F544</f>
        <v>404340</v>
      </c>
      <c r="G355" s="189">
        <f>Distt.Minor!G544</f>
        <v>338532</v>
      </c>
      <c r="H355" s="189">
        <f>Distt.Minor!H544</f>
        <v>10</v>
      </c>
    </row>
    <row r="356" spans="1:15" ht="17.100000000000001" customHeight="1" x14ac:dyDescent="0.25">
      <c r="A356" s="133">
        <v>14</v>
      </c>
      <c r="B356" s="188" t="s">
        <v>288</v>
      </c>
      <c r="C356" s="141">
        <f>Distt.Minor!C381</f>
        <v>0</v>
      </c>
      <c r="D356" s="141">
        <f>Distt.Minor!D381</f>
        <v>0</v>
      </c>
      <c r="E356" s="141">
        <f>Distt.Minor!E381</f>
        <v>0</v>
      </c>
      <c r="F356" s="141">
        <f>Distt.Minor!F381</f>
        <v>0</v>
      </c>
      <c r="G356" s="141">
        <f>Distt.Minor!G381</f>
        <v>0</v>
      </c>
      <c r="H356" s="141">
        <f>Distt.Minor!H381</f>
        <v>0</v>
      </c>
    </row>
    <row r="357" spans="1:15" ht="17.100000000000001" customHeight="1" x14ac:dyDescent="0.25">
      <c r="A357" s="133">
        <v>15</v>
      </c>
      <c r="B357" s="226" t="s">
        <v>274</v>
      </c>
      <c r="C357" s="141">
        <f>Distt.Minor!C396</f>
        <v>0</v>
      </c>
      <c r="D357" s="141">
        <f>Distt.Minor!D396</f>
        <v>0</v>
      </c>
      <c r="E357" s="141">
        <f>Distt.Minor!E396</f>
        <v>11813432</v>
      </c>
      <c r="F357" s="141">
        <f>Distt.Minor!F396</f>
        <v>295335800</v>
      </c>
      <c r="G357" s="141">
        <f>Distt.Minor!G396</f>
        <v>63171668</v>
      </c>
      <c r="H357" s="141">
        <f>Distt.Minor!H396</f>
        <v>275</v>
      </c>
    </row>
    <row r="358" spans="1:15" ht="17.100000000000001" customHeight="1" x14ac:dyDescent="0.25">
      <c r="A358" s="133">
        <v>16</v>
      </c>
      <c r="B358" s="621" t="s">
        <v>261</v>
      </c>
      <c r="C358" s="758">
        <f>Distt.Minor!C451</f>
        <v>0</v>
      </c>
      <c r="D358" s="758">
        <f>Distt.Minor!D451</f>
        <v>0</v>
      </c>
      <c r="E358" s="758">
        <f>Distt.Minor!E451</f>
        <v>0</v>
      </c>
      <c r="F358" s="758">
        <f>Distt.Minor!F451</f>
        <v>0</v>
      </c>
      <c r="G358" s="758">
        <f>Distt.Minor!G451</f>
        <v>0</v>
      </c>
      <c r="H358" s="758">
        <f>Distt.Minor!H451</f>
        <v>0</v>
      </c>
    </row>
    <row r="359" spans="1:15" ht="17.100000000000001" customHeight="1" x14ac:dyDescent="0.25">
      <c r="A359" s="137">
        <v>17</v>
      </c>
      <c r="B359" s="19" t="s">
        <v>267</v>
      </c>
      <c r="C359" s="137">
        <f>Distt.Minor!C589</f>
        <v>0</v>
      </c>
      <c r="D359" s="137">
        <f>Distt.Minor!D589</f>
        <v>0</v>
      </c>
      <c r="E359" s="137">
        <f>Distt.Minor!E589</f>
        <v>0</v>
      </c>
      <c r="F359" s="137">
        <f>Distt.Minor!F589</f>
        <v>0</v>
      </c>
      <c r="G359" s="137">
        <f>Distt.Minor!G589</f>
        <v>0</v>
      </c>
      <c r="H359" s="137">
        <f>Distt.Minor!H589</f>
        <v>0</v>
      </c>
    </row>
    <row r="360" spans="1:15" ht="17.100000000000001" customHeight="1" x14ac:dyDescent="0.25">
      <c r="A360" s="137">
        <v>18</v>
      </c>
      <c r="B360" s="19" t="s">
        <v>262</v>
      </c>
      <c r="C360" s="137">
        <f>Distt.Minor!C481</f>
        <v>0</v>
      </c>
      <c r="D360" s="137">
        <f>Distt.Minor!D481</f>
        <v>0</v>
      </c>
      <c r="E360" s="137">
        <f>Distt.Minor!E481</f>
        <v>137285</v>
      </c>
      <c r="F360" s="137">
        <f>Distt.Minor!F481</f>
        <v>3843980</v>
      </c>
      <c r="G360" s="137">
        <f>Distt.Minor!G481</f>
        <v>1564989</v>
      </c>
      <c r="H360" s="137">
        <f>Distt.Minor!H481</f>
        <v>15</v>
      </c>
    </row>
    <row r="361" spans="1:15" ht="17.100000000000001" customHeight="1" x14ac:dyDescent="0.25">
      <c r="A361" s="137">
        <v>19</v>
      </c>
      <c r="B361" s="19" t="s">
        <v>276</v>
      </c>
      <c r="C361" s="137">
        <f>'Office Minor'!C682</f>
        <v>0</v>
      </c>
      <c r="D361" s="137">
        <f>'Office Minor'!D682</f>
        <v>0</v>
      </c>
      <c r="E361" s="137">
        <f>'Office Minor'!E682</f>
        <v>625000</v>
      </c>
      <c r="F361" s="137">
        <f>'Office Minor'!F682</f>
        <v>37500000</v>
      </c>
      <c r="G361" s="137">
        <f>'Office Minor'!G682</f>
        <v>3921860</v>
      </c>
      <c r="H361" s="137">
        <f>'Office Minor'!H682</f>
        <v>25</v>
      </c>
    </row>
    <row r="362" spans="1:15" ht="17.100000000000001" customHeight="1" x14ac:dyDescent="0.25">
      <c r="A362" s="1300" t="s">
        <v>50</v>
      </c>
      <c r="B362" s="1301"/>
      <c r="C362" s="35">
        <f>SUM(C343:C361)</f>
        <v>8</v>
      </c>
      <c r="D362" s="35">
        <f t="shared" ref="D362:H362" si="46">SUM(D343:D361)</f>
        <v>7</v>
      </c>
      <c r="E362" s="35">
        <f t="shared" si="46"/>
        <v>23778011.686000001</v>
      </c>
      <c r="F362" s="35">
        <f t="shared" si="46"/>
        <v>649341576.46200001</v>
      </c>
      <c r="G362" s="35">
        <f t="shared" si="46"/>
        <v>142932627</v>
      </c>
      <c r="H362" s="35">
        <f t="shared" si="46"/>
        <v>4203</v>
      </c>
      <c r="J362" s="240">
        <f>'Minor Minerals'!C435</f>
        <v>8</v>
      </c>
      <c r="K362" s="240">
        <f>'Minor Minerals'!D435</f>
        <v>7</v>
      </c>
      <c r="L362" s="240">
        <f>'Minor Minerals'!E435</f>
        <v>23778011.686000001</v>
      </c>
      <c r="M362" s="240">
        <f>'Minor Minerals'!F435</f>
        <v>649341576.46200001</v>
      </c>
      <c r="N362" s="240">
        <f>'Minor Minerals'!G435</f>
        <v>142932627</v>
      </c>
      <c r="O362" s="240">
        <f>'Minor Minerals'!H435</f>
        <v>4203</v>
      </c>
    </row>
    <row r="363" spans="1:15" ht="17.100000000000001" customHeight="1" x14ac:dyDescent="0.25">
      <c r="A363" s="136"/>
      <c r="B363" s="136"/>
      <c r="C363" s="136"/>
      <c r="D363" s="136"/>
      <c r="E363" s="136"/>
      <c r="F363" s="136"/>
      <c r="G363" s="136"/>
      <c r="H363" s="136"/>
      <c r="J363" s="128">
        <f>J362-C362</f>
        <v>0</v>
      </c>
      <c r="K363" s="128">
        <f t="shared" ref="K363:N363" si="47">K362-D362</f>
        <v>0</v>
      </c>
      <c r="L363" s="128">
        <f>L362-E362</f>
        <v>0</v>
      </c>
      <c r="M363" s="128">
        <f>M362-F362</f>
        <v>0</v>
      </c>
      <c r="N363" s="128">
        <f t="shared" si="47"/>
        <v>0</v>
      </c>
      <c r="O363" s="128">
        <f>O362-H362</f>
        <v>0</v>
      </c>
    </row>
    <row r="364" spans="1:15" ht="17.100000000000001" customHeight="1" x14ac:dyDescent="0.25">
      <c r="A364" s="1155" t="s">
        <v>147</v>
      </c>
      <c r="B364" s="1155"/>
      <c r="C364" s="1155"/>
      <c r="D364" s="1155"/>
      <c r="E364" s="1155"/>
      <c r="F364" s="1155"/>
      <c r="G364" s="1155"/>
      <c r="H364" s="1155"/>
    </row>
    <row r="365" spans="1:15" ht="17.100000000000001" customHeight="1" x14ac:dyDescent="0.25">
      <c r="A365" s="1304" t="s">
        <v>2</v>
      </c>
      <c r="B365" s="1124" t="s">
        <v>270</v>
      </c>
      <c r="C365" s="249" t="s">
        <v>4</v>
      </c>
      <c r="D365" s="249" t="s">
        <v>5</v>
      </c>
      <c r="E365" s="249" t="s">
        <v>6</v>
      </c>
      <c r="F365" s="249" t="s">
        <v>7</v>
      </c>
      <c r="G365" s="249" t="s">
        <v>8</v>
      </c>
      <c r="H365" s="249" t="s">
        <v>9</v>
      </c>
    </row>
    <row r="366" spans="1:15" ht="17.100000000000001" customHeight="1" x14ac:dyDescent="0.25">
      <c r="A366" s="1305"/>
      <c r="B366" s="1125"/>
      <c r="C366" s="32" t="s">
        <v>10</v>
      </c>
      <c r="D366" s="32" t="s">
        <v>52</v>
      </c>
      <c r="E366" s="32" t="s">
        <v>79</v>
      </c>
      <c r="F366" s="66" t="s">
        <v>80</v>
      </c>
      <c r="G366" s="66" t="s">
        <v>80</v>
      </c>
      <c r="H366" s="32" t="s">
        <v>13</v>
      </c>
    </row>
    <row r="367" spans="1:15" ht="17.100000000000001" customHeight="1" x14ac:dyDescent="0.25">
      <c r="A367" s="178">
        <v>1</v>
      </c>
      <c r="B367" s="212" t="s">
        <v>282</v>
      </c>
      <c r="C367" s="172">
        <f>Distt.Minor!C86</f>
        <v>2</v>
      </c>
      <c r="D367" s="172">
        <f>Distt.Minor!D86</f>
        <v>2</v>
      </c>
      <c r="E367" s="172">
        <f>Distt.Minor!E86</f>
        <v>0</v>
      </c>
      <c r="F367" s="172">
        <f>Distt.Minor!F86</f>
        <v>0</v>
      </c>
      <c r="G367" s="172">
        <f>Distt.Minor!G86</f>
        <v>0</v>
      </c>
      <c r="H367" s="172">
        <f>Distt.Minor!H86</f>
        <v>0</v>
      </c>
    </row>
    <row r="368" spans="1:15" ht="17.100000000000001" customHeight="1" x14ac:dyDescent="0.25">
      <c r="A368" s="178">
        <v>2</v>
      </c>
      <c r="B368" s="212" t="s">
        <v>243</v>
      </c>
      <c r="C368" s="172">
        <f>Distt.Minor!C71+Distt.Minor!C74</f>
        <v>4</v>
      </c>
      <c r="D368" s="172">
        <f>Distt.Minor!D71+Distt.Minor!D74</f>
        <v>7</v>
      </c>
      <c r="E368" s="172">
        <f>Distt.Minor!E71+Distt.Minor!E74</f>
        <v>237037</v>
      </c>
      <c r="F368" s="172">
        <f>Distt.Minor!F71+Distt.Minor!F74</f>
        <v>47407492</v>
      </c>
      <c r="G368" s="172">
        <f>Distt.Minor!G71+Distt.Minor!G74</f>
        <v>7655408</v>
      </c>
      <c r="H368" s="172">
        <f>Distt.Minor!H71+Distt.Minor!H74</f>
        <v>10</v>
      </c>
    </row>
    <row r="369" spans="1:15" ht="17.100000000000001" customHeight="1" x14ac:dyDescent="0.25">
      <c r="A369" s="178">
        <v>3</v>
      </c>
      <c r="B369" s="188" t="s">
        <v>248</v>
      </c>
      <c r="C369" s="703">
        <f>Distt.Minor!C178+Distt.Minor!C177</f>
        <v>0</v>
      </c>
      <c r="D369" s="703">
        <f>Distt.Minor!D178+Distt.Minor!D177</f>
        <v>0</v>
      </c>
      <c r="E369" s="703">
        <f>Distt.Minor!E178+Distt.Minor!E177</f>
        <v>0</v>
      </c>
      <c r="F369" s="703">
        <f>Distt.Minor!F178+Distt.Minor!F177</f>
        <v>0</v>
      </c>
      <c r="G369" s="703">
        <f>Distt.Minor!G178+Distt.Minor!G177</f>
        <v>0</v>
      </c>
      <c r="H369" s="704">
        <f>Distt.Minor!H178+Distt.Minor!H177</f>
        <v>0</v>
      </c>
    </row>
    <row r="370" spans="1:15" ht="17.100000000000001" customHeight="1" x14ac:dyDescent="0.25">
      <c r="A370" s="178">
        <v>4</v>
      </c>
      <c r="B370" s="188" t="s">
        <v>257</v>
      </c>
      <c r="C370" s="179">
        <f>Distt.Minor!C364</f>
        <v>3</v>
      </c>
      <c r="D370" s="179">
        <f>Distt.Minor!D364</f>
        <v>3</v>
      </c>
      <c r="E370" s="179">
        <f>Distt.Minor!E364</f>
        <v>14069.68</v>
      </c>
      <c r="F370" s="179">
        <f>Distt.Minor!F364</f>
        <v>4783691.2</v>
      </c>
      <c r="G370" s="179">
        <f>Distt.Minor!G364</f>
        <v>450230</v>
      </c>
      <c r="H370" s="167">
        <f>Distt.Minor!H364</f>
        <v>20</v>
      </c>
    </row>
    <row r="371" spans="1:15" ht="17.100000000000001" customHeight="1" x14ac:dyDescent="0.25">
      <c r="A371" s="178">
        <v>5</v>
      </c>
      <c r="B371" s="188" t="s">
        <v>254</v>
      </c>
      <c r="C371" s="622">
        <f>Distt.Minor!C273</f>
        <v>17</v>
      </c>
      <c r="D371" s="622">
        <f>Distt.Minor!D273</f>
        <v>21</v>
      </c>
      <c r="E371" s="622">
        <f>Distt.Minor!E273</f>
        <v>263521.11</v>
      </c>
      <c r="F371" s="622">
        <f>Distt.Minor!F273</f>
        <v>55339410</v>
      </c>
      <c r="G371" s="622">
        <f>Distt.Minor!G273</f>
        <v>8432672</v>
      </c>
      <c r="H371" s="705">
        <f>Distt.Minor!H273</f>
        <v>250</v>
      </c>
    </row>
    <row r="372" spans="1:15" ht="17.100000000000001" customHeight="1" x14ac:dyDescent="0.25">
      <c r="A372" s="178">
        <v>6</v>
      </c>
      <c r="B372" s="192" t="s">
        <v>425</v>
      </c>
      <c r="C372" s="167">
        <f>Distt.Minor!C456</f>
        <v>0</v>
      </c>
      <c r="D372" s="167">
        <f>Distt.Minor!D456</f>
        <v>0</v>
      </c>
      <c r="E372" s="167">
        <f>Distt.Minor!E456</f>
        <v>0</v>
      </c>
      <c r="F372" s="167">
        <f>Distt.Minor!F456</f>
        <v>0</v>
      </c>
      <c r="G372" s="167">
        <f>Distt.Minor!G456</f>
        <v>0</v>
      </c>
      <c r="H372" s="167">
        <f>Distt.Minor!H456</f>
        <v>0</v>
      </c>
    </row>
    <row r="373" spans="1:15" ht="17.100000000000001" customHeight="1" x14ac:dyDescent="0.25">
      <c r="A373" s="178">
        <v>7</v>
      </c>
      <c r="B373" s="192" t="s">
        <v>476</v>
      </c>
      <c r="C373" s="167">
        <f>Distt.Minor!C469</f>
        <v>0</v>
      </c>
      <c r="D373" s="167">
        <f>Distt.Minor!D469</f>
        <v>0</v>
      </c>
      <c r="E373" s="167">
        <f>Distt.Minor!E469</f>
        <v>0</v>
      </c>
      <c r="F373" s="167">
        <f>Distt.Minor!F469</f>
        <v>0</v>
      </c>
      <c r="G373" s="167">
        <f>Distt.Minor!G469</f>
        <v>0</v>
      </c>
      <c r="H373" s="167">
        <f>Distt.Minor!H469</f>
        <v>0</v>
      </c>
    </row>
    <row r="374" spans="1:15" ht="17.100000000000001" customHeight="1" x14ac:dyDescent="0.25">
      <c r="A374" s="178">
        <v>8</v>
      </c>
      <c r="B374" s="192" t="s">
        <v>260</v>
      </c>
      <c r="C374" s="167">
        <f>Distt.Minor!C436</f>
        <v>0</v>
      </c>
      <c r="D374" s="167">
        <f>Distt.Minor!D436</f>
        <v>0</v>
      </c>
      <c r="E374" s="167">
        <f>Distt.Minor!E436</f>
        <v>0</v>
      </c>
      <c r="F374" s="167">
        <f>Distt.Minor!F436</f>
        <v>0</v>
      </c>
      <c r="G374" s="167">
        <f>Distt.Minor!G436</f>
        <v>0</v>
      </c>
      <c r="H374" s="167">
        <f>Distt.Minor!H436</f>
        <v>0</v>
      </c>
    </row>
    <row r="375" spans="1:15" ht="17.100000000000001" customHeight="1" x14ac:dyDescent="0.25">
      <c r="A375" s="178">
        <v>9</v>
      </c>
      <c r="B375" s="188" t="s">
        <v>286</v>
      </c>
      <c r="C375" s="176">
        <f>Distt.Minor!C329</f>
        <v>0</v>
      </c>
      <c r="D375" s="176">
        <f>Distt.Minor!D329</f>
        <v>0</v>
      </c>
      <c r="E375" s="176">
        <f>Distt.Minor!E329</f>
        <v>40354</v>
      </c>
      <c r="F375" s="176">
        <f>Distt.Minor!F329</f>
        <v>7869030</v>
      </c>
      <c r="G375" s="176">
        <f>Distt.Minor!G329</f>
        <v>1291000</v>
      </c>
      <c r="H375" s="176">
        <f>Distt.Minor!H329</f>
        <v>10</v>
      </c>
    </row>
    <row r="376" spans="1:15" ht="17.100000000000001" customHeight="1" x14ac:dyDescent="0.25">
      <c r="A376" s="178">
        <v>10</v>
      </c>
      <c r="B376" s="623" t="s">
        <v>267</v>
      </c>
      <c r="C376" s="167">
        <f>Distt.Minor!C574</f>
        <v>0</v>
      </c>
      <c r="D376" s="167">
        <f>Distt.Minor!D574</f>
        <v>0</v>
      </c>
      <c r="E376" s="167">
        <f>Distt.Minor!E574</f>
        <v>0</v>
      </c>
      <c r="F376" s="167">
        <f>Distt.Minor!F574</f>
        <v>0</v>
      </c>
      <c r="G376" s="167">
        <f>Distt.Minor!G574</f>
        <v>0</v>
      </c>
      <c r="H376" s="167">
        <f>Distt.Minor!H574</f>
        <v>0</v>
      </c>
    </row>
    <row r="377" spans="1:15" ht="17.100000000000001" customHeight="1" x14ac:dyDescent="0.25">
      <c r="A377" s="178">
        <v>11</v>
      </c>
      <c r="B377" s="623" t="s">
        <v>265</v>
      </c>
      <c r="C377" s="167">
        <f>Distt.Minor!C545</f>
        <v>0</v>
      </c>
      <c r="D377" s="167">
        <f>Distt.Minor!D545</f>
        <v>0</v>
      </c>
      <c r="E377" s="167">
        <f>Distt.Minor!E545</f>
        <v>16314</v>
      </c>
      <c r="F377" s="167">
        <f>Distt.Minor!F545</f>
        <v>2936678</v>
      </c>
      <c r="G377" s="167">
        <f>Distt.Minor!G545</f>
        <v>407872</v>
      </c>
      <c r="H377" s="167">
        <f>Distt.Minor!H545</f>
        <v>10</v>
      </c>
    </row>
    <row r="378" spans="1:15" ht="17.100000000000001" customHeight="1" x14ac:dyDescent="0.25">
      <c r="A378" s="956">
        <v>12</v>
      </c>
      <c r="B378" s="957" t="s">
        <v>249</v>
      </c>
      <c r="C378" s="167">
        <f>Distt.Minor!C215</f>
        <v>0</v>
      </c>
      <c r="D378" s="167">
        <f>Distt.Minor!D215</f>
        <v>0</v>
      </c>
      <c r="E378" s="167">
        <f>Distt.Minor!E215</f>
        <v>0</v>
      </c>
      <c r="F378" s="167">
        <f>Distt.Minor!F215</f>
        <v>0</v>
      </c>
      <c r="G378" s="167">
        <f>Distt.Minor!G215</f>
        <v>0</v>
      </c>
      <c r="H378" s="167">
        <f>Distt.Minor!H215</f>
        <v>0</v>
      </c>
    </row>
    <row r="379" spans="1:15" ht="17.100000000000001" customHeight="1" x14ac:dyDescent="0.25">
      <c r="A379" s="1300" t="s">
        <v>50</v>
      </c>
      <c r="B379" s="1301"/>
      <c r="C379" s="35">
        <f>SUM(C367:C377)</f>
        <v>26</v>
      </c>
      <c r="D379" s="35">
        <f t="shared" ref="D379:H379" si="48">SUM(D367:D377)</f>
        <v>33</v>
      </c>
      <c r="E379" s="35">
        <f t="shared" si="48"/>
        <v>571295.79</v>
      </c>
      <c r="F379" s="35">
        <f t="shared" si="48"/>
        <v>118336301.2</v>
      </c>
      <c r="G379" s="35">
        <f t="shared" si="48"/>
        <v>18237182</v>
      </c>
      <c r="H379" s="35">
        <f t="shared" si="48"/>
        <v>300</v>
      </c>
      <c r="J379" s="240">
        <f>'Minor Minerals'!C452</f>
        <v>26</v>
      </c>
      <c r="K379" s="240">
        <f>'Minor Minerals'!D452</f>
        <v>33</v>
      </c>
      <c r="L379" s="240">
        <f>'Minor Minerals'!E452</f>
        <v>571295.79</v>
      </c>
      <c r="M379" s="240">
        <f>'Minor Minerals'!F452</f>
        <v>118336301.2</v>
      </c>
      <c r="N379" s="240">
        <f>'Minor Minerals'!G452</f>
        <v>18237182</v>
      </c>
      <c r="O379" s="240">
        <f>'Minor Minerals'!H452</f>
        <v>300</v>
      </c>
    </row>
    <row r="380" spans="1:15" ht="17.100000000000001" customHeight="1" x14ac:dyDescent="0.25">
      <c r="A380" s="136"/>
      <c r="B380" s="136"/>
      <c r="C380" s="136"/>
      <c r="D380" s="136"/>
      <c r="E380" s="136"/>
      <c r="F380" s="136"/>
      <c r="G380" s="136"/>
      <c r="H380" s="136"/>
      <c r="J380" s="128">
        <f>J379-C379</f>
        <v>0</v>
      </c>
      <c r="K380" s="128">
        <f t="shared" ref="K380:O380" si="49">K379-D379</f>
        <v>0</v>
      </c>
      <c r="L380" s="128">
        <f t="shared" si="49"/>
        <v>0</v>
      </c>
      <c r="M380" s="128">
        <f t="shared" si="49"/>
        <v>0</v>
      </c>
      <c r="N380" s="128">
        <f t="shared" si="49"/>
        <v>0</v>
      </c>
      <c r="O380" s="128">
        <f t="shared" si="49"/>
        <v>0</v>
      </c>
    </row>
    <row r="381" spans="1:15" ht="17.100000000000001" customHeight="1" x14ac:dyDescent="0.3">
      <c r="A381" s="1142" t="s">
        <v>121</v>
      </c>
      <c r="B381" s="1142"/>
      <c r="C381" s="1142"/>
      <c r="D381" s="1142"/>
      <c r="E381" s="1142"/>
      <c r="F381" s="1142"/>
      <c r="G381" s="1142"/>
      <c r="H381" s="1142"/>
    </row>
    <row r="382" spans="1:15" ht="17.100000000000001" customHeight="1" x14ac:dyDescent="0.25">
      <c r="A382" s="1122" t="s">
        <v>2</v>
      </c>
      <c r="B382" s="1124" t="s">
        <v>270</v>
      </c>
      <c r="C382" s="249" t="s">
        <v>4</v>
      </c>
      <c r="D382" s="249" t="s">
        <v>5</v>
      </c>
      <c r="E382" s="249" t="s">
        <v>6</v>
      </c>
      <c r="F382" s="249" t="s">
        <v>7</v>
      </c>
      <c r="G382" s="249" t="s">
        <v>8</v>
      </c>
      <c r="H382" s="249" t="s">
        <v>9</v>
      </c>
    </row>
    <row r="383" spans="1:15" ht="17.100000000000001" customHeight="1" x14ac:dyDescent="0.25">
      <c r="A383" s="1123"/>
      <c r="B383" s="1125"/>
      <c r="C383" s="2" t="s">
        <v>10</v>
      </c>
      <c r="D383" s="2" t="s">
        <v>78</v>
      </c>
      <c r="E383" s="2" t="s">
        <v>79</v>
      </c>
      <c r="F383" s="52" t="s">
        <v>80</v>
      </c>
      <c r="G383" s="52" t="s">
        <v>80</v>
      </c>
      <c r="H383" s="2" t="s">
        <v>13</v>
      </c>
    </row>
    <row r="384" spans="1:15" ht="17.100000000000001" customHeight="1" x14ac:dyDescent="0.25">
      <c r="A384" s="133">
        <v>1</v>
      </c>
      <c r="B384" s="192" t="s">
        <v>244</v>
      </c>
      <c r="C384" s="133">
        <f>Distt.Minor!C101</f>
        <v>4</v>
      </c>
      <c r="D384" s="133">
        <f>Distt.Minor!D101</f>
        <v>19.170000000000002</v>
      </c>
      <c r="E384" s="133">
        <f>Distt.Minor!E101</f>
        <v>0</v>
      </c>
      <c r="F384" s="133">
        <f>Distt.Minor!F101</f>
        <v>0</v>
      </c>
      <c r="G384" s="133">
        <f>Distt.Minor!G101</f>
        <v>0</v>
      </c>
      <c r="H384" s="133">
        <f>Distt.Minor!H101</f>
        <v>0</v>
      </c>
    </row>
    <row r="385" spans="1:15" ht="17.100000000000001" customHeight="1" x14ac:dyDescent="0.25">
      <c r="A385" s="133">
        <v>2</v>
      </c>
      <c r="B385" s="192" t="s">
        <v>240</v>
      </c>
      <c r="C385" s="224">
        <f>Distt.Minor!C20</f>
        <v>1</v>
      </c>
      <c r="D385" s="224">
        <f>Distt.Minor!D20</f>
        <v>4.8</v>
      </c>
      <c r="E385" s="224">
        <f>Distt.Minor!E20</f>
        <v>8173</v>
      </c>
      <c r="F385" s="224">
        <f>Distt.Minor!F20</f>
        <v>2043250</v>
      </c>
      <c r="G385" s="224">
        <f>Distt.Minor!G20</f>
        <v>367827</v>
      </c>
      <c r="H385" s="224">
        <f>Distt.Minor!H20</f>
        <v>4</v>
      </c>
    </row>
    <row r="386" spans="1:15" ht="17.100000000000001" customHeight="1" x14ac:dyDescent="0.25">
      <c r="A386" s="133">
        <v>3</v>
      </c>
      <c r="B386" s="192" t="s">
        <v>245</v>
      </c>
      <c r="C386" s="133">
        <f>Distt.Minor!C123</f>
        <v>4</v>
      </c>
      <c r="D386" s="133">
        <f>Distt.Minor!D123</f>
        <v>14.55</v>
      </c>
      <c r="E386" s="133">
        <f>Distt.Minor!E123</f>
        <v>651830</v>
      </c>
      <c r="F386" s="133">
        <f>Distt.Minor!F123</f>
        <v>169657880</v>
      </c>
      <c r="G386" s="133">
        <f>Distt.Minor!G123</f>
        <v>33039329</v>
      </c>
      <c r="H386" s="133">
        <f>Distt.Minor!H123</f>
        <v>70</v>
      </c>
      <c r="M386" s="168"/>
    </row>
    <row r="387" spans="1:15" ht="17.100000000000001" customHeight="1" x14ac:dyDescent="0.25">
      <c r="A387" s="133">
        <v>4</v>
      </c>
      <c r="B387" s="192" t="s">
        <v>247</v>
      </c>
      <c r="C387" s="133">
        <f>Distt.Minor!C153</f>
        <v>0</v>
      </c>
      <c r="D387" s="133">
        <f>Distt.Minor!D153</f>
        <v>0</v>
      </c>
      <c r="E387" s="133">
        <f>Distt.Minor!E153</f>
        <v>15030.49</v>
      </c>
      <c r="F387" s="133">
        <f>Distt.Minor!F153</f>
        <v>3907927.4</v>
      </c>
      <c r="G387" s="133">
        <f>Distt.Minor!G153</f>
        <v>2936226</v>
      </c>
      <c r="H387" s="133">
        <f>Distt.Minor!H153</f>
        <v>50</v>
      </c>
      <c r="M387" s="246"/>
    </row>
    <row r="388" spans="1:15" ht="17.100000000000001" customHeight="1" x14ac:dyDescent="0.25">
      <c r="A388" s="133">
        <v>5</v>
      </c>
      <c r="B388" s="192" t="s">
        <v>248</v>
      </c>
      <c r="C388" s="133">
        <f>Distt.Minor!C182</f>
        <v>56</v>
      </c>
      <c r="D388" s="133">
        <f>Distt.Minor!D182</f>
        <v>524.06999999999994</v>
      </c>
      <c r="E388" s="133">
        <f>Distt.Minor!E182</f>
        <v>1199819</v>
      </c>
      <c r="F388" s="133">
        <f>Distt.Minor!F182</f>
        <v>311952940</v>
      </c>
      <c r="G388" s="133">
        <f>Distt.Minor!G182</f>
        <v>50387156</v>
      </c>
      <c r="H388" s="133">
        <f>Distt.Minor!H182</f>
        <v>2500</v>
      </c>
    </row>
    <row r="389" spans="1:15" ht="17.100000000000001" customHeight="1" x14ac:dyDescent="0.25">
      <c r="A389" s="133">
        <v>6</v>
      </c>
      <c r="B389" s="192" t="s">
        <v>254</v>
      </c>
      <c r="C389" s="133">
        <f>Distt.Minor!C266</f>
        <v>3</v>
      </c>
      <c r="D389" s="133">
        <f>Distt.Minor!D266</f>
        <v>14.7544</v>
      </c>
      <c r="E389" s="133">
        <f>Distt.Minor!E266</f>
        <v>126.03</v>
      </c>
      <c r="F389" s="133">
        <f>Distt.Minor!F266</f>
        <v>32767.8</v>
      </c>
      <c r="G389" s="133">
        <f>Distt.Minor!G266</f>
        <v>56000</v>
      </c>
      <c r="H389" s="133">
        <f>Distt.Minor!H266</f>
        <v>2</v>
      </c>
    </row>
    <row r="390" spans="1:15" ht="17.100000000000001" customHeight="1" x14ac:dyDescent="0.25">
      <c r="A390" s="133">
        <v>7</v>
      </c>
      <c r="B390" s="192" t="s">
        <v>261</v>
      </c>
      <c r="C390" s="133">
        <f>Distt.Minor!C453</f>
        <v>46</v>
      </c>
      <c r="D390" s="133">
        <f>Distt.Minor!D453</f>
        <v>530.66</v>
      </c>
      <c r="E390" s="133">
        <f>Distt.Minor!E453</f>
        <v>1546238</v>
      </c>
      <c r="F390" s="133">
        <f>Distt.Minor!F453</f>
        <v>397383166</v>
      </c>
      <c r="G390" s="133">
        <f>Distt.Minor!G453</f>
        <v>32470998</v>
      </c>
      <c r="H390" s="133">
        <f>Distt.Minor!H453</f>
        <v>300</v>
      </c>
    </row>
    <row r="391" spans="1:15" ht="17.100000000000001" customHeight="1" x14ac:dyDescent="0.25">
      <c r="A391" s="133">
        <v>8</v>
      </c>
      <c r="B391" s="192" t="s">
        <v>264</v>
      </c>
      <c r="C391" s="133">
        <f>Distt.Minor!C527</f>
        <v>2</v>
      </c>
      <c r="D391" s="133">
        <f>Distt.Minor!D527</f>
        <v>8.1</v>
      </c>
      <c r="E391" s="133">
        <f>Distt.Minor!E527</f>
        <v>0</v>
      </c>
      <c r="F391" s="133">
        <f>Distt.Minor!F527</f>
        <v>0</v>
      </c>
      <c r="G391" s="133">
        <f>Distt.Minor!G527</f>
        <v>0</v>
      </c>
      <c r="H391" s="133">
        <f>Distt.Minor!H527</f>
        <v>0</v>
      </c>
    </row>
    <row r="392" spans="1:15" ht="17.100000000000001" customHeight="1" x14ac:dyDescent="0.25">
      <c r="A392" s="133">
        <v>9</v>
      </c>
      <c r="B392" s="192" t="s">
        <v>257</v>
      </c>
      <c r="C392" s="133">
        <f>Distt.Minor!C366</f>
        <v>7</v>
      </c>
      <c r="D392" s="133">
        <f>Distt.Minor!D366</f>
        <v>7.89</v>
      </c>
      <c r="E392" s="133">
        <f>Distt.Minor!E366</f>
        <v>4667</v>
      </c>
      <c r="F392" s="133">
        <f>Distt.Minor!F366</f>
        <v>1166750</v>
      </c>
      <c r="G392" s="133">
        <f>Distt.Minor!G366</f>
        <v>140000</v>
      </c>
      <c r="H392" s="133">
        <f>Distt.Minor!H366</f>
        <v>15</v>
      </c>
    </row>
    <row r="393" spans="1:15" ht="17.100000000000001" customHeight="1" x14ac:dyDescent="0.25">
      <c r="A393" s="133">
        <v>10</v>
      </c>
      <c r="B393" s="192" t="s">
        <v>252</v>
      </c>
      <c r="C393" s="133">
        <f>Distt.Minor!C294</f>
        <v>0</v>
      </c>
      <c r="D393" s="133">
        <f>Distt.Minor!D294</f>
        <v>0</v>
      </c>
      <c r="E393" s="133">
        <f>Distt.Minor!E294</f>
        <v>0</v>
      </c>
      <c r="F393" s="133">
        <f>Distt.Minor!F294</f>
        <v>0</v>
      </c>
      <c r="G393" s="133">
        <f>Distt.Minor!G294</f>
        <v>0</v>
      </c>
      <c r="H393" s="133">
        <f>Distt.Minor!H294</f>
        <v>0</v>
      </c>
    </row>
    <row r="394" spans="1:15" ht="17.100000000000001" customHeight="1" x14ac:dyDescent="0.25">
      <c r="A394" s="133">
        <v>11</v>
      </c>
      <c r="B394" s="192" t="s">
        <v>267</v>
      </c>
      <c r="C394" s="151">
        <f>Distt.Minor!C583</f>
        <v>1</v>
      </c>
      <c r="D394" s="151">
        <f>Distt.Minor!D583</f>
        <v>44</v>
      </c>
      <c r="E394" s="151">
        <f>Distt.Minor!E583</f>
        <v>86966</v>
      </c>
      <c r="F394" s="151">
        <f>Distt.Minor!F583</f>
        <v>21741452.593407299</v>
      </c>
      <c r="G394" s="151">
        <f>Distt.Minor!G583</f>
        <v>1135765</v>
      </c>
      <c r="H394" s="151">
        <f>Distt.Minor!H583</f>
        <v>28</v>
      </c>
    </row>
    <row r="395" spans="1:15" ht="17.100000000000001" customHeight="1" x14ac:dyDescent="0.25">
      <c r="A395" s="1300" t="s">
        <v>50</v>
      </c>
      <c r="B395" s="1301"/>
      <c r="C395" s="4">
        <f t="shared" ref="C395:H395" si="50">SUM(C384:C394)</f>
        <v>124</v>
      </c>
      <c r="D395" s="5">
        <f t="shared" si="50"/>
        <v>1167.9943999999998</v>
      </c>
      <c r="E395" s="7">
        <f t="shared" si="50"/>
        <v>3512849.52</v>
      </c>
      <c r="F395" s="7">
        <f t="shared" si="50"/>
        <v>907886133.79340732</v>
      </c>
      <c r="G395" s="7">
        <f t="shared" si="50"/>
        <v>120533301</v>
      </c>
      <c r="H395" s="4">
        <f t="shared" si="50"/>
        <v>2969</v>
      </c>
      <c r="J395" s="238">
        <f>'Minor Minerals'!C470</f>
        <v>124</v>
      </c>
      <c r="K395" s="238">
        <f>'Minor Minerals'!D470</f>
        <v>1167.9943999999998</v>
      </c>
      <c r="L395" s="238">
        <f>'Minor Minerals'!E470</f>
        <v>3512849.52</v>
      </c>
      <c r="M395" s="238">
        <f>'Minor Minerals'!F470</f>
        <v>907886133.79340732</v>
      </c>
      <c r="N395" s="238">
        <f>'Minor Minerals'!G470</f>
        <v>120533301</v>
      </c>
      <c r="O395" s="238">
        <f>'Minor Minerals'!H470</f>
        <v>2969</v>
      </c>
    </row>
    <row r="396" spans="1:15" ht="17.100000000000001" customHeight="1" x14ac:dyDescent="0.25">
      <c r="A396" s="136"/>
      <c r="B396" s="136"/>
      <c r="C396" s="136"/>
      <c r="D396" s="136"/>
      <c r="E396" s="136"/>
      <c r="F396" s="136"/>
      <c r="G396" s="136"/>
      <c r="H396" s="136"/>
      <c r="J396" s="128">
        <f>J395-C395</f>
        <v>0</v>
      </c>
      <c r="K396" s="128">
        <f t="shared" ref="K396:O396" si="51">K395-D395</f>
        <v>0</v>
      </c>
      <c r="L396" s="128">
        <f t="shared" si="51"/>
        <v>0</v>
      </c>
      <c r="M396" s="128">
        <f t="shared" si="51"/>
        <v>0</v>
      </c>
      <c r="N396" s="128">
        <f t="shared" si="51"/>
        <v>0</v>
      </c>
      <c r="O396" s="128">
        <f t="shared" si="51"/>
        <v>0</v>
      </c>
    </row>
    <row r="397" spans="1:15" ht="17.100000000000001" customHeight="1" x14ac:dyDescent="0.25">
      <c r="A397" s="1155" t="s">
        <v>67</v>
      </c>
      <c r="B397" s="1155"/>
      <c r="C397" s="1155"/>
      <c r="D397" s="1155"/>
      <c r="E397" s="1155"/>
      <c r="F397" s="1155"/>
      <c r="G397" s="1155"/>
      <c r="H397" s="1155"/>
    </row>
    <row r="398" spans="1:15" ht="17.100000000000001" customHeight="1" x14ac:dyDescent="0.25">
      <c r="A398" s="1122" t="s">
        <v>2</v>
      </c>
      <c r="B398" s="1124" t="s">
        <v>270</v>
      </c>
      <c r="C398" s="249" t="s">
        <v>4</v>
      </c>
      <c r="D398" s="249" t="s">
        <v>5</v>
      </c>
      <c r="E398" s="249" t="s">
        <v>6</v>
      </c>
      <c r="F398" s="249" t="s">
        <v>7</v>
      </c>
      <c r="G398" s="249" t="s">
        <v>8</v>
      </c>
      <c r="H398" s="249" t="s">
        <v>9</v>
      </c>
    </row>
    <row r="399" spans="1:15" ht="17.100000000000001" customHeight="1" x14ac:dyDescent="0.25">
      <c r="A399" s="1123"/>
      <c r="B399" s="1125"/>
      <c r="C399" s="2" t="s">
        <v>10</v>
      </c>
      <c r="D399" s="2" t="s">
        <v>52</v>
      </c>
      <c r="E399" s="2" t="s">
        <v>79</v>
      </c>
      <c r="F399" s="52" t="s">
        <v>80</v>
      </c>
      <c r="G399" s="52" t="s">
        <v>80</v>
      </c>
      <c r="H399" s="2" t="s">
        <v>13</v>
      </c>
    </row>
    <row r="400" spans="1:15" ht="17.100000000000001" customHeight="1" x14ac:dyDescent="0.25">
      <c r="A400" s="192">
        <v>1</v>
      </c>
      <c r="B400" s="188" t="s">
        <v>240</v>
      </c>
      <c r="C400" s="63">
        <f>Distt.Minor!C12</f>
        <v>7</v>
      </c>
      <c r="D400" s="63">
        <f>Distt.Minor!D12</f>
        <v>14.5</v>
      </c>
      <c r="E400" s="63">
        <f>Distt.Minor!E12</f>
        <v>7221</v>
      </c>
      <c r="F400" s="63">
        <f>Distt.Minor!F12</f>
        <v>10831500</v>
      </c>
      <c r="G400" s="63">
        <f>Distt.Minor!G12</f>
        <v>1299870</v>
      </c>
      <c r="H400" s="63">
        <f>Distt.Minor!H12</f>
        <v>14</v>
      </c>
    </row>
    <row r="401" spans="1:15" ht="17.100000000000001" customHeight="1" x14ac:dyDescent="0.25">
      <c r="A401" s="192">
        <v>2</v>
      </c>
      <c r="B401" s="188" t="s">
        <v>271</v>
      </c>
      <c r="C401" s="141">
        <f>Distt.Minor!C31</f>
        <v>1</v>
      </c>
      <c r="D401" s="141">
        <f>Distt.Minor!D31</f>
        <v>1.62</v>
      </c>
      <c r="E401" s="141">
        <f>Distt.Minor!E31</f>
        <v>3034.62</v>
      </c>
      <c r="F401" s="141">
        <f>Distt.Minor!F31</f>
        <v>1972503</v>
      </c>
      <c r="G401" s="141">
        <f>Distt.Minor!G31</f>
        <v>242770</v>
      </c>
      <c r="H401" s="141">
        <f>Distt.Minor!H31</f>
        <v>50</v>
      </c>
    </row>
    <row r="402" spans="1:15" ht="17.100000000000001" customHeight="1" x14ac:dyDescent="0.25">
      <c r="A402" s="192">
        <v>3</v>
      </c>
      <c r="B402" s="188" t="s">
        <v>419</v>
      </c>
      <c r="C402" s="141">
        <f>Distt.Minor!C170</f>
        <v>0</v>
      </c>
      <c r="D402" s="141">
        <f>Distt.Minor!D170</f>
        <v>0</v>
      </c>
      <c r="E402" s="141">
        <f>Distt.Minor!E170</f>
        <v>682392</v>
      </c>
      <c r="F402" s="141">
        <f>Distt.Minor!F170</f>
        <v>443554235</v>
      </c>
      <c r="G402" s="141">
        <f>Distt.Minor!G170</f>
        <v>112346542</v>
      </c>
      <c r="H402" s="141">
        <f>Distt.Minor!H170</f>
        <v>1500</v>
      </c>
    </row>
    <row r="403" spans="1:15" ht="17.100000000000001" customHeight="1" x14ac:dyDescent="0.25">
      <c r="A403" s="192">
        <v>4</v>
      </c>
      <c r="B403" s="188" t="s">
        <v>250</v>
      </c>
      <c r="C403" s="141">
        <f>Distt.Minor!C238</f>
        <v>0</v>
      </c>
      <c r="D403" s="141">
        <f>Distt.Minor!D238</f>
        <v>0</v>
      </c>
      <c r="E403" s="141">
        <f>Distt.Minor!E238</f>
        <v>26287</v>
      </c>
      <c r="F403" s="141">
        <f>Distt.Minor!F238</f>
        <v>17087083</v>
      </c>
      <c r="G403" s="141">
        <f>Distt.Minor!G238</f>
        <v>1031473</v>
      </c>
      <c r="H403" s="141">
        <f>Distt.Minor!H238</f>
        <v>25</v>
      </c>
    </row>
    <row r="404" spans="1:15" ht="17.100000000000001" customHeight="1" x14ac:dyDescent="0.25">
      <c r="A404" s="192">
        <v>5</v>
      </c>
      <c r="B404" s="188" t="s">
        <v>416</v>
      </c>
      <c r="C404" s="116">
        <f>Distt.Minor!C345</f>
        <v>1</v>
      </c>
      <c r="D404" s="116">
        <f>Distt.Minor!D345</f>
        <v>1</v>
      </c>
      <c r="E404" s="116">
        <f>Distt.Minor!E345</f>
        <v>0</v>
      </c>
      <c r="F404" s="116">
        <f>Distt.Minor!F345</f>
        <v>0</v>
      </c>
      <c r="G404" s="116">
        <f>Distt.Minor!G345</f>
        <v>0</v>
      </c>
      <c r="H404" s="116">
        <f>Distt.Minor!H345</f>
        <v>0</v>
      </c>
    </row>
    <row r="405" spans="1:15" ht="17.100000000000001" customHeight="1" x14ac:dyDescent="0.25">
      <c r="A405" s="192">
        <v>6</v>
      </c>
      <c r="B405" s="188" t="s">
        <v>245</v>
      </c>
      <c r="C405" s="141">
        <f>Distt.Minor!C113</f>
        <v>7</v>
      </c>
      <c r="D405" s="141">
        <f>Distt.Minor!D113</f>
        <v>10.62</v>
      </c>
      <c r="E405" s="141">
        <f>Distt.Minor!E113</f>
        <v>105</v>
      </c>
      <c r="F405" s="141">
        <f>Distt.Minor!F113</f>
        <v>73500</v>
      </c>
      <c r="G405" s="141">
        <f>Distt.Minor!G113</f>
        <v>831743</v>
      </c>
      <c r="H405" s="141">
        <f>Distt.Minor!H113</f>
        <v>32</v>
      </c>
    </row>
    <row r="406" spans="1:15" ht="17.100000000000001" customHeight="1" x14ac:dyDescent="0.25">
      <c r="A406" s="192">
        <v>7</v>
      </c>
      <c r="B406" s="192" t="s">
        <v>261</v>
      </c>
      <c r="C406" s="141">
        <f>Distt.Minor!C448</f>
        <v>2</v>
      </c>
      <c r="D406" s="141">
        <f>Distt.Minor!D448</f>
        <v>40.5</v>
      </c>
      <c r="E406" s="141">
        <f>Distt.Minor!E448</f>
        <v>2308</v>
      </c>
      <c r="F406" s="141">
        <f>Distt.Minor!F448</f>
        <v>1615600</v>
      </c>
      <c r="G406" s="141">
        <f>Distt.Minor!G448</f>
        <v>120016</v>
      </c>
      <c r="H406" s="141">
        <f>Distt.Minor!H448</f>
        <v>10</v>
      </c>
    </row>
    <row r="407" spans="1:15" ht="17.100000000000001" customHeight="1" x14ac:dyDescent="0.25">
      <c r="A407" s="192">
        <v>8</v>
      </c>
      <c r="B407" s="188" t="s">
        <v>275</v>
      </c>
      <c r="C407" s="141">
        <f>Distt.Minor!C479</f>
        <v>7</v>
      </c>
      <c r="D407" s="141">
        <f>Distt.Minor!D479</f>
        <v>11.5</v>
      </c>
      <c r="E407" s="141">
        <f>Distt.Minor!E479</f>
        <v>203</v>
      </c>
      <c r="F407" s="141">
        <f>Distt.Minor!F479</f>
        <v>142100</v>
      </c>
      <c r="G407" s="141">
        <f>Distt.Minor!G479</f>
        <v>1437118</v>
      </c>
      <c r="H407" s="141">
        <f>Distt.Minor!H479</f>
        <v>25</v>
      </c>
    </row>
    <row r="408" spans="1:15" ht="17.100000000000001" customHeight="1" x14ac:dyDescent="0.25">
      <c r="A408" s="192">
        <v>9</v>
      </c>
      <c r="B408" s="188" t="s">
        <v>260</v>
      </c>
      <c r="C408" s="141">
        <f>Distt.Minor!C432</f>
        <v>0</v>
      </c>
      <c r="D408" s="141">
        <f>Distt.Minor!D432</f>
        <v>0</v>
      </c>
      <c r="E408" s="141">
        <f>Distt.Minor!E432</f>
        <v>122800</v>
      </c>
      <c r="F408" s="141">
        <f>Distt.Minor!F432</f>
        <v>84609200</v>
      </c>
      <c r="G408" s="141">
        <f>Distt.Minor!G432</f>
        <v>4320065</v>
      </c>
      <c r="H408" s="141">
        <f>Distt.Minor!H432</f>
        <v>104</v>
      </c>
    </row>
    <row r="409" spans="1:15" ht="17.100000000000001" customHeight="1" x14ac:dyDescent="0.25">
      <c r="A409" s="192">
        <v>10</v>
      </c>
      <c r="B409" s="547" t="s">
        <v>276</v>
      </c>
      <c r="C409" s="141">
        <f>Distt.Minor!C494</f>
        <v>0</v>
      </c>
      <c r="D409" s="141">
        <f>Distt.Minor!D494</f>
        <v>0</v>
      </c>
      <c r="E409" s="141">
        <f>Distt.Minor!E494</f>
        <v>0</v>
      </c>
      <c r="F409" s="141">
        <f>Distt.Minor!F494</f>
        <v>0</v>
      </c>
      <c r="G409" s="141">
        <f>Distt.Minor!G494</f>
        <v>0</v>
      </c>
      <c r="H409" s="141">
        <f>Distt.Minor!H494</f>
        <v>0</v>
      </c>
    </row>
    <row r="410" spans="1:15" ht="17.100000000000001" customHeight="1" x14ac:dyDescent="0.25">
      <c r="A410" s="192">
        <v>11</v>
      </c>
      <c r="B410" s="188" t="s">
        <v>278</v>
      </c>
      <c r="C410" s="187">
        <f>Distt.Minor!C554</f>
        <v>14</v>
      </c>
      <c r="D410" s="187">
        <f>Distt.Minor!D554</f>
        <v>13.85</v>
      </c>
      <c r="E410" s="187">
        <f>Distt.Minor!E554</f>
        <v>8208</v>
      </c>
      <c r="F410" s="187">
        <f>Distt.Minor!F554</f>
        <v>5745600</v>
      </c>
      <c r="G410" s="187">
        <f>Distt.Minor!G554</f>
        <v>3714717</v>
      </c>
      <c r="H410" s="187">
        <f>Distt.Minor!H554</f>
        <v>50</v>
      </c>
    </row>
    <row r="411" spans="1:15" ht="17.100000000000001" customHeight="1" x14ac:dyDescent="0.25">
      <c r="A411" s="192">
        <v>12</v>
      </c>
      <c r="B411" s="188" t="s">
        <v>267</v>
      </c>
      <c r="C411" s="117">
        <f>Distt.Minor!C577</f>
        <v>23</v>
      </c>
      <c r="D411" s="117">
        <f>Distt.Minor!D577</f>
        <v>937.82</v>
      </c>
      <c r="E411" s="117">
        <f>Distt.Minor!E577</f>
        <v>57421</v>
      </c>
      <c r="F411" s="117">
        <f>Distt.Minor!F577</f>
        <v>38325050</v>
      </c>
      <c r="G411" s="117">
        <f>Distt.Minor!G577</f>
        <v>2663576</v>
      </c>
      <c r="H411" s="117">
        <f>Distt.Minor!H577</f>
        <v>45</v>
      </c>
    </row>
    <row r="412" spans="1:15" ht="17.100000000000001" customHeight="1" x14ac:dyDescent="0.25">
      <c r="A412" s="1300" t="s">
        <v>50</v>
      </c>
      <c r="B412" s="1301"/>
      <c r="C412" s="35">
        <f t="shared" ref="C412:H412" si="52">SUM(C400:C411)</f>
        <v>62</v>
      </c>
      <c r="D412" s="34">
        <f t="shared" si="52"/>
        <v>1031.4100000000001</v>
      </c>
      <c r="E412" s="33">
        <f t="shared" si="52"/>
        <v>909979.62</v>
      </c>
      <c r="F412" s="33">
        <f t="shared" si="52"/>
        <v>603956371</v>
      </c>
      <c r="G412" s="33">
        <f t="shared" si="52"/>
        <v>128007890</v>
      </c>
      <c r="H412" s="33">
        <f t="shared" si="52"/>
        <v>1855</v>
      </c>
      <c r="J412" s="240">
        <f>'Minor Minerals'!C489</f>
        <v>62</v>
      </c>
      <c r="K412" s="240">
        <f>'Minor Minerals'!D489</f>
        <v>1031.4100000000001</v>
      </c>
      <c r="L412" s="240">
        <f>'Minor Minerals'!E489</f>
        <v>909979.62</v>
      </c>
      <c r="M412" s="240">
        <f>'Minor Minerals'!F489</f>
        <v>603956371</v>
      </c>
      <c r="N412" s="240">
        <f>'Minor Minerals'!G489</f>
        <v>128007890</v>
      </c>
      <c r="O412" s="240">
        <f>'Minor Minerals'!H489</f>
        <v>1855</v>
      </c>
    </row>
    <row r="413" spans="1:15" ht="17.100000000000001" customHeight="1" x14ac:dyDescent="0.25">
      <c r="A413" s="136"/>
      <c r="B413" s="136"/>
      <c r="C413" s="136"/>
      <c r="D413" s="136"/>
      <c r="E413" s="136"/>
      <c r="F413" s="136"/>
      <c r="G413" s="136"/>
      <c r="H413" s="136"/>
      <c r="J413" s="128">
        <f>J412-C412</f>
        <v>0</v>
      </c>
      <c r="K413" s="128">
        <f t="shared" ref="K413:O413" si="53">K412-D412</f>
        <v>0</v>
      </c>
      <c r="L413" s="128">
        <f t="shared" si="53"/>
        <v>0</v>
      </c>
      <c r="M413" s="128">
        <f t="shared" si="53"/>
        <v>0</v>
      </c>
      <c r="N413" s="128">
        <f t="shared" si="53"/>
        <v>0</v>
      </c>
      <c r="O413" s="128">
        <f t="shared" si="53"/>
        <v>0</v>
      </c>
    </row>
    <row r="414" spans="1:15" ht="17.100000000000001" customHeight="1" x14ac:dyDescent="0.3">
      <c r="A414" s="1142" t="s">
        <v>122</v>
      </c>
      <c r="B414" s="1142"/>
      <c r="C414" s="1142"/>
      <c r="D414" s="1142"/>
      <c r="E414" s="1142"/>
      <c r="F414" s="1142"/>
      <c r="G414" s="1142"/>
      <c r="H414" s="1142"/>
    </row>
    <row r="415" spans="1:15" ht="17.100000000000001" customHeight="1" x14ac:dyDescent="0.25">
      <c r="A415" s="1122" t="s">
        <v>2</v>
      </c>
      <c r="B415" s="1124" t="s">
        <v>270</v>
      </c>
      <c r="C415" s="249" t="s">
        <v>4</v>
      </c>
      <c r="D415" s="249" t="s">
        <v>5</v>
      </c>
      <c r="E415" s="249" t="s">
        <v>6</v>
      </c>
      <c r="F415" s="249" t="s">
        <v>7</v>
      </c>
      <c r="G415" s="249" t="s">
        <v>8</v>
      </c>
      <c r="H415" s="249" t="s">
        <v>9</v>
      </c>
    </row>
    <row r="416" spans="1:15" ht="17.100000000000001" customHeight="1" x14ac:dyDescent="0.25">
      <c r="A416" s="1123"/>
      <c r="B416" s="1125"/>
      <c r="C416" s="2" t="s">
        <v>10</v>
      </c>
      <c r="D416" s="2" t="s">
        <v>78</v>
      </c>
      <c r="E416" s="2" t="s">
        <v>79</v>
      </c>
      <c r="F416" s="52" t="s">
        <v>80</v>
      </c>
      <c r="G416" s="52" t="s">
        <v>80</v>
      </c>
      <c r="H416" s="2" t="s">
        <v>13</v>
      </c>
    </row>
    <row r="417" spans="1:15" ht="17.100000000000001" customHeight="1" x14ac:dyDescent="0.25">
      <c r="A417" s="133">
        <v>1</v>
      </c>
      <c r="B417" s="3" t="s">
        <v>267</v>
      </c>
      <c r="C417" s="133">
        <f>Distt.Minor!C582</f>
        <v>7</v>
      </c>
      <c r="D417" s="133">
        <f>Distt.Minor!D582</f>
        <v>197.53</v>
      </c>
      <c r="E417" s="133">
        <f>Distt.Minor!E582</f>
        <v>18131</v>
      </c>
      <c r="F417" s="133">
        <f>Distt.Minor!F582</f>
        <v>29009564.964674339</v>
      </c>
      <c r="G417" s="133">
        <f>Distt.Minor!G582</f>
        <v>11744060</v>
      </c>
      <c r="H417" s="133">
        <f>Distt.Minor!H582</f>
        <v>23</v>
      </c>
    </row>
    <row r="418" spans="1:15" ht="17.100000000000001" customHeight="1" x14ac:dyDescent="0.25">
      <c r="A418" s="133">
        <v>2</v>
      </c>
      <c r="B418" s="3" t="s">
        <v>547</v>
      </c>
      <c r="C418" s="133">
        <f>Distt.Minor!C480</f>
        <v>1</v>
      </c>
      <c r="D418" s="133">
        <f>Distt.Minor!D480</f>
        <v>4</v>
      </c>
      <c r="E418" s="133">
        <f>Distt.Minor!E480</f>
        <v>0</v>
      </c>
      <c r="F418" s="133">
        <f>Distt.Minor!F480</f>
        <v>0</v>
      </c>
      <c r="G418" s="133">
        <f>Distt.Minor!G480</f>
        <v>0</v>
      </c>
      <c r="H418" s="133">
        <f>Distt.Minor!H480</f>
        <v>0</v>
      </c>
    </row>
    <row r="419" spans="1:15" ht="17.100000000000001" customHeight="1" x14ac:dyDescent="0.25">
      <c r="A419" s="133">
        <v>3</v>
      </c>
      <c r="B419" s="3" t="s">
        <v>245</v>
      </c>
      <c r="C419" s="133">
        <f>Distt.Minor!C114</f>
        <v>9</v>
      </c>
      <c r="D419" s="133">
        <f>Distt.Minor!D114</f>
        <v>204.62</v>
      </c>
      <c r="E419" s="133">
        <f>Distt.Minor!E114</f>
        <v>129843.15702479339</v>
      </c>
      <c r="F419" s="133">
        <f>Distt.Minor!F114</f>
        <v>214241209.09090909</v>
      </c>
      <c r="G419" s="133">
        <f>Distt.Minor!G114</f>
        <v>31422044</v>
      </c>
      <c r="H419" s="133">
        <f>Distt.Minor!H114</f>
        <v>0</v>
      </c>
    </row>
    <row r="420" spans="1:15" ht="17.100000000000001" customHeight="1" x14ac:dyDescent="0.25">
      <c r="A420" s="1303" t="s">
        <v>50</v>
      </c>
      <c r="B420" s="1303"/>
      <c r="C420" s="4">
        <f>SUM(C417:C419)</f>
        <v>17</v>
      </c>
      <c r="D420" s="4">
        <f t="shared" ref="D420:H420" si="54">SUM(D417:D419)</f>
        <v>406.15</v>
      </c>
      <c r="E420" s="4">
        <f t="shared" si="54"/>
        <v>147974.15702479339</v>
      </c>
      <c r="F420" s="4">
        <f t="shared" si="54"/>
        <v>243250774.05558342</v>
      </c>
      <c r="G420" s="4">
        <f t="shared" si="54"/>
        <v>43166104</v>
      </c>
      <c r="H420" s="4">
        <f t="shared" si="54"/>
        <v>23</v>
      </c>
      <c r="J420" s="239">
        <f>'Minor Minerals'!C497</f>
        <v>17</v>
      </c>
      <c r="K420" s="239">
        <f>'Minor Minerals'!D497</f>
        <v>406.15</v>
      </c>
      <c r="L420" s="239">
        <f>'Minor Minerals'!E497</f>
        <v>147974.15702479339</v>
      </c>
      <c r="M420" s="239">
        <f>'Minor Minerals'!F497</f>
        <v>243250774.05558342</v>
      </c>
      <c r="N420" s="239">
        <f>'Minor Minerals'!G497</f>
        <v>43166104</v>
      </c>
      <c r="O420" s="239">
        <f>'Minor Minerals'!H497</f>
        <v>23</v>
      </c>
    </row>
    <row r="421" spans="1:15" ht="17.100000000000001" customHeight="1" x14ac:dyDescent="0.25">
      <c r="A421" s="136"/>
      <c r="B421" s="136"/>
      <c r="C421" s="136"/>
      <c r="D421" s="136"/>
      <c r="E421" s="136"/>
      <c r="F421" s="136"/>
      <c r="G421" s="136"/>
      <c r="H421" s="136"/>
      <c r="J421" s="123">
        <f>J420-C420</f>
        <v>0</v>
      </c>
      <c r="K421" s="123">
        <f t="shared" ref="K421:O421" si="55">K420-D420</f>
        <v>0</v>
      </c>
      <c r="L421" s="123">
        <f t="shared" si="55"/>
        <v>0</v>
      </c>
      <c r="M421" s="123">
        <f t="shared" si="55"/>
        <v>0</v>
      </c>
      <c r="N421" s="123">
        <f t="shared" si="55"/>
        <v>0</v>
      </c>
      <c r="O421" s="123">
        <f t="shared" si="55"/>
        <v>0</v>
      </c>
    </row>
    <row r="422" spans="1:15" ht="17.100000000000001" customHeight="1" x14ac:dyDescent="0.25">
      <c r="A422" s="1155" t="s">
        <v>68</v>
      </c>
      <c r="B422" s="1155"/>
      <c r="C422" s="1155"/>
      <c r="D422" s="1155"/>
      <c r="E422" s="1155"/>
      <c r="F422" s="1155"/>
      <c r="G422" s="1155"/>
      <c r="H422" s="1155"/>
    </row>
    <row r="423" spans="1:15" ht="17.100000000000001" customHeight="1" x14ac:dyDescent="0.25">
      <c r="A423" s="1122" t="s">
        <v>2</v>
      </c>
      <c r="B423" s="1124" t="s">
        <v>270</v>
      </c>
      <c r="C423" s="249" t="s">
        <v>4</v>
      </c>
      <c r="D423" s="249" t="s">
        <v>5</v>
      </c>
      <c r="E423" s="249" t="s">
        <v>6</v>
      </c>
      <c r="F423" s="249" t="s">
        <v>7</v>
      </c>
      <c r="G423" s="249" t="s">
        <v>8</v>
      </c>
      <c r="H423" s="249" t="s">
        <v>9</v>
      </c>
    </row>
    <row r="424" spans="1:15" ht="17.100000000000001" customHeight="1" x14ac:dyDescent="0.25">
      <c r="A424" s="1123"/>
      <c r="B424" s="1125"/>
      <c r="C424" s="2" t="s">
        <v>10</v>
      </c>
      <c r="D424" s="2" t="s">
        <v>52</v>
      </c>
      <c r="E424" s="2" t="s">
        <v>79</v>
      </c>
      <c r="F424" s="52" t="s">
        <v>80</v>
      </c>
      <c r="G424" s="52" t="s">
        <v>80</v>
      </c>
      <c r="H424" s="2" t="s">
        <v>13</v>
      </c>
    </row>
    <row r="425" spans="1:15" ht="17.100000000000001" customHeight="1" x14ac:dyDescent="0.25">
      <c r="A425" s="133">
        <v>1</v>
      </c>
      <c r="B425" s="188" t="s">
        <v>240</v>
      </c>
      <c r="C425" s="63">
        <f>Distt.Minor!C11</f>
        <v>4</v>
      </c>
      <c r="D425" s="63">
        <f>Distt.Minor!D11</f>
        <v>10.4</v>
      </c>
      <c r="E425" s="63">
        <f>Distt.Minor!E11</f>
        <v>45635</v>
      </c>
      <c r="F425" s="63">
        <f>Distt.Minor!F11</f>
        <v>10952305</v>
      </c>
      <c r="G425" s="63">
        <f>Distt.Minor!G11</f>
        <v>51578644</v>
      </c>
      <c r="H425" s="63">
        <f>Distt.Minor!H11</f>
        <v>10</v>
      </c>
    </row>
    <row r="426" spans="1:15" ht="17.100000000000001" customHeight="1" x14ac:dyDescent="0.25">
      <c r="A426" s="133">
        <v>2</v>
      </c>
      <c r="B426" s="188" t="s">
        <v>419</v>
      </c>
      <c r="C426" s="203">
        <f>Distt.Minor!C184</f>
        <v>2</v>
      </c>
      <c r="D426" s="203">
        <f>Distt.Minor!D184</f>
        <v>20.707699999999999</v>
      </c>
      <c r="E426" s="203">
        <f>Distt.Minor!E184</f>
        <v>571</v>
      </c>
      <c r="F426" s="203">
        <f>Distt.Minor!F184</f>
        <v>142750</v>
      </c>
      <c r="G426" s="203">
        <f>Distt.Minor!G184</f>
        <v>45680</v>
      </c>
      <c r="H426" s="203">
        <f>Distt.Minor!H184</f>
        <v>0</v>
      </c>
    </row>
    <row r="427" spans="1:15" ht="17.100000000000001" customHeight="1" x14ac:dyDescent="0.25">
      <c r="A427" s="133">
        <v>3</v>
      </c>
      <c r="B427" s="188" t="s">
        <v>473</v>
      </c>
      <c r="C427" s="203">
        <f>Distt.Minor!C211</f>
        <v>0</v>
      </c>
      <c r="D427" s="203">
        <f>Distt.Minor!D211</f>
        <v>0</v>
      </c>
      <c r="E427" s="203">
        <f>Distt.Minor!E211</f>
        <v>0</v>
      </c>
      <c r="F427" s="203">
        <f>Distt.Minor!F211</f>
        <v>0</v>
      </c>
      <c r="G427" s="203">
        <f>Distt.Minor!G211</f>
        <v>0</v>
      </c>
      <c r="H427" s="203">
        <f>Distt.Minor!H211</f>
        <v>0</v>
      </c>
    </row>
    <row r="428" spans="1:15" ht="17.100000000000001" customHeight="1" x14ac:dyDescent="0.25">
      <c r="A428" s="133">
        <v>4</v>
      </c>
      <c r="B428" s="188" t="s">
        <v>256</v>
      </c>
      <c r="C428" s="142">
        <f>Distt.Minor!C341</f>
        <v>11</v>
      </c>
      <c r="D428" s="142">
        <f>Distt.Minor!D341</f>
        <v>14.914</v>
      </c>
      <c r="E428" s="142">
        <f>Distt.Minor!E341</f>
        <v>96220</v>
      </c>
      <c r="F428" s="142">
        <f>Distt.Minor!F341</f>
        <v>23573900</v>
      </c>
      <c r="G428" s="142">
        <f>Distt.Minor!G341</f>
        <v>8206000</v>
      </c>
      <c r="H428" s="142">
        <f>Distt.Minor!H341</f>
        <v>24</v>
      </c>
    </row>
    <row r="429" spans="1:15" ht="17.100000000000001" customHeight="1" x14ac:dyDescent="0.25">
      <c r="A429" s="133">
        <v>5</v>
      </c>
      <c r="B429" s="188" t="s">
        <v>252</v>
      </c>
      <c r="C429" s="141">
        <f>Distt.Minor!C296</f>
        <v>4</v>
      </c>
      <c r="D429" s="141">
        <f>Distt.Minor!D296</f>
        <v>38.44</v>
      </c>
      <c r="E429" s="141">
        <f>Distt.Minor!E296</f>
        <v>4696</v>
      </c>
      <c r="F429" s="141">
        <f>Distt.Minor!F296</f>
        <v>1174040</v>
      </c>
      <c r="G429" s="141">
        <f>Distt.Minor!G296</f>
        <v>730551</v>
      </c>
      <c r="H429" s="141">
        <f>Distt.Minor!H296</f>
        <v>28</v>
      </c>
    </row>
    <row r="430" spans="1:15" ht="17.100000000000001" customHeight="1" x14ac:dyDescent="0.25">
      <c r="A430" s="133">
        <v>6</v>
      </c>
      <c r="B430" s="546" t="s">
        <v>259</v>
      </c>
      <c r="C430" s="141">
        <f>Distt.Minor!C416</f>
        <v>1</v>
      </c>
      <c r="D430" s="141">
        <f>Distt.Minor!D416</f>
        <v>1</v>
      </c>
      <c r="E430" s="141">
        <f>Distt.Minor!E416</f>
        <v>91.41</v>
      </c>
      <c r="F430" s="141">
        <f>Distt.Minor!F416</f>
        <v>21938</v>
      </c>
      <c r="G430" s="141">
        <f>Distt.Minor!G416</f>
        <v>8227</v>
      </c>
      <c r="H430" s="141">
        <f>Distt.Minor!H416</f>
        <v>20</v>
      </c>
    </row>
    <row r="431" spans="1:15" ht="17.100000000000001" customHeight="1" x14ac:dyDescent="0.25">
      <c r="A431" s="133">
        <v>7</v>
      </c>
      <c r="B431" s="188" t="s">
        <v>264</v>
      </c>
      <c r="C431" s="141">
        <f>Distt.Minor!C516</f>
        <v>8</v>
      </c>
      <c r="D431" s="141">
        <f>Distt.Minor!D516</f>
        <v>8</v>
      </c>
      <c r="E431" s="141">
        <f>Distt.Minor!E516</f>
        <v>12006</v>
      </c>
      <c r="F431" s="141">
        <f>Distt.Minor!F516</f>
        <v>3001500</v>
      </c>
      <c r="G431" s="141">
        <f>Distt.Minor!G516</f>
        <v>286331</v>
      </c>
      <c r="H431" s="141">
        <f>Distt.Minor!H516</f>
        <v>10</v>
      </c>
    </row>
    <row r="432" spans="1:15" ht="17.100000000000001" customHeight="1" x14ac:dyDescent="0.25">
      <c r="A432" s="133">
        <v>8</v>
      </c>
      <c r="B432" s="188" t="s">
        <v>475</v>
      </c>
      <c r="C432" s="141">
        <f>Distt.Minor!C493</f>
        <v>0</v>
      </c>
      <c r="D432" s="141">
        <f>Distt.Minor!D493</f>
        <v>0</v>
      </c>
      <c r="E432" s="141">
        <f>Distt.Minor!E493</f>
        <v>0</v>
      </c>
      <c r="F432" s="141">
        <f>Distt.Minor!F493</f>
        <v>0</v>
      </c>
      <c r="G432" s="141">
        <f>Distt.Minor!G493</f>
        <v>0</v>
      </c>
      <c r="H432" s="141">
        <f>Distt.Minor!H493</f>
        <v>0</v>
      </c>
    </row>
    <row r="433" spans="1:15" ht="17.100000000000001" customHeight="1" x14ac:dyDescent="0.25">
      <c r="A433" s="133">
        <v>9</v>
      </c>
      <c r="B433" s="188" t="s">
        <v>267</v>
      </c>
      <c r="C433" s="205">
        <f>Distt.Minor!C590</f>
        <v>3</v>
      </c>
      <c r="D433" s="205">
        <f>Distt.Minor!D590</f>
        <v>4</v>
      </c>
      <c r="E433" s="205">
        <f>Distt.Minor!E590</f>
        <v>0</v>
      </c>
      <c r="F433" s="205">
        <f>Distt.Minor!F590</f>
        <v>0</v>
      </c>
      <c r="G433" s="205">
        <f>Distt.Minor!G590</f>
        <v>0</v>
      </c>
      <c r="H433" s="205">
        <f>Distt.Minor!H590</f>
        <v>0</v>
      </c>
    </row>
    <row r="434" spans="1:15" ht="17.100000000000001" customHeight="1" x14ac:dyDescent="0.25">
      <c r="A434" s="1300" t="s">
        <v>50</v>
      </c>
      <c r="B434" s="1301"/>
      <c r="C434" s="35">
        <f t="shared" ref="C434:H434" si="56">SUM(C425:C433)</f>
        <v>33</v>
      </c>
      <c r="D434" s="34">
        <f t="shared" si="56"/>
        <v>97.461700000000008</v>
      </c>
      <c r="E434" s="33">
        <f t="shared" si="56"/>
        <v>159219.41</v>
      </c>
      <c r="F434" s="33">
        <f t="shared" si="56"/>
        <v>38866433</v>
      </c>
      <c r="G434" s="33">
        <f t="shared" si="56"/>
        <v>60855433</v>
      </c>
      <c r="H434" s="33">
        <f t="shared" si="56"/>
        <v>92</v>
      </c>
      <c r="J434" s="240">
        <f>'Minor Minerals'!C513</f>
        <v>33</v>
      </c>
      <c r="K434" s="240">
        <f>'Minor Minerals'!D513</f>
        <v>97.461700000000008</v>
      </c>
      <c r="L434" s="240">
        <f>'Minor Minerals'!E513</f>
        <v>159219.41</v>
      </c>
      <c r="M434" s="240">
        <f>'Minor Minerals'!F513</f>
        <v>38866433</v>
      </c>
      <c r="N434" s="240">
        <f>'Minor Minerals'!G513</f>
        <v>60855433</v>
      </c>
      <c r="O434" s="240">
        <f>'Minor Minerals'!H513</f>
        <v>92</v>
      </c>
    </row>
    <row r="435" spans="1:15" ht="17.100000000000001" customHeight="1" x14ac:dyDescent="0.25">
      <c r="A435" s="136"/>
      <c r="B435" s="136"/>
      <c r="C435" s="136"/>
      <c r="D435" s="136"/>
      <c r="E435" s="136"/>
      <c r="F435" s="136"/>
      <c r="G435" s="136"/>
      <c r="H435" s="136"/>
      <c r="J435" s="128">
        <f>J434-C434</f>
        <v>0</v>
      </c>
      <c r="K435" s="128">
        <f t="shared" ref="K435:O435" si="57">K434-D434</f>
        <v>0</v>
      </c>
      <c r="L435" s="128">
        <f t="shared" si="57"/>
        <v>0</v>
      </c>
      <c r="M435" s="128">
        <f t="shared" si="57"/>
        <v>0</v>
      </c>
      <c r="N435" s="128">
        <f t="shared" si="57"/>
        <v>0</v>
      </c>
      <c r="O435" s="128">
        <f t="shared" si="57"/>
        <v>0</v>
      </c>
    </row>
    <row r="436" spans="1:15" ht="17.100000000000001" customHeight="1" x14ac:dyDescent="0.3">
      <c r="A436" s="1142" t="s">
        <v>40</v>
      </c>
      <c r="B436" s="1142"/>
      <c r="C436" s="1142"/>
      <c r="D436" s="1142"/>
      <c r="E436" s="1142"/>
      <c r="F436" s="1142"/>
      <c r="G436" s="1142"/>
      <c r="H436" s="1142"/>
    </row>
    <row r="437" spans="1:15" ht="17.100000000000001" customHeight="1" x14ac:dyDescent="0.25">
      <c r="A437" s="1122" t="s">
        <v>2</v>
      </c>
      <c r="B437" s="1124" t="s">
        <v>270</v>
      </c>
      <c r="C437" s="249" t="s">
        <v>4</v>
      </c>
      <c r="D437" s="249" t="s">
        <v>5</v>
      </c>
      <c r="E437" s="249" t="s">
        <v>6</v>
      </c>
      <c r="F437" s="249" t="s">
        <v>7</v>
      </c>
      <c r="G437" s="249" t="s">
        <v>8</v>
      </c>
      <c r="H437" s="249" t="s">
        <v>9</v>
      </c>
    </row>
    <row r="438" spans="1:15" ht="17.100000000000001" customHeight="1" x14ac:dyDescent="0.25">
      <c r="A438" s="1123"/>
      <c r="B438" s="1125"/>
      <c r="C438" s="2" t="s">
        <v>10</v>
      </c>
      <c r="D438" s="2" t="s">
        <v>78</v>
      </c>
      <c r="E438" s="2" t="s">
        <v>79</v>
      </c>
      <c r="F438" s="52" t="s">
        <v>80</v>
      </c>
      <c r="G438" s="52" t="s">
        <v>80</v>
      </c>
      <c r="H438" s="2" t="s">
        <v>13</v>
      </c>
    </row>
    <row r="439" spans="1:15" ht="17.100000000000001" customHeight="1" x14ac:dyDescent="0.25">
      <c r="A439" s="133">
        <v>1</v>
      </c>
      <c r="B439" s="192" t="s">
        <v>240</v>
      </c>
      <c r="C439" s="142">
        <f>Distt.Minor!C17</f>
        <v>113</v>
      </c>
      <c r="D439" s="142">
        <f>Distt.Minor!D17</f>
        <v>758.33</v>
      </c>
      <c r="E439" s="142">
        <f>Distt.Minor!E17</f>
        <v>62299</v>
      </c>
      <c r="F439" s="142">
        <f>Distt.Minor!F17</f>
        <v>40494350</v>
      </c>
      <c r="G439" s="142">
        <f>Distt.Minor!G17</f>
        <v>5606910</v>
      </c>
      <c r="H439" s="142">
        <f>Distt.Minor!H17</f>
        <v>150</v>
      </c>
    </row>
    <row r="440" spans="1:15" ht="17.100000000000001" customHeight="1" x14ac:dyDescent="0.25">
      <c r="A440" s="133">
        <v>2</v>
      </c>
      <c r="B440" s="192" t="s">
        <v>242</v>
      </c>
      <c r="C440" s="142">
        <f>'Office Minor'!C81</f>
        <v>4</v>
      </c>
      <c r="D440" s="142">
        <f>'Office Minor'!D81</f>
        <v>4.25</v>
      </c>
      <c r="E440" s="142">
        <f>'Office Minor'!E81</f>
        <v>99961.57</v>
      </c>
      <c r="F440" s="142">
        <f>'Office Minor'!F81</f>
        <v>59616405</v>
      </c>
      <c r="G440" s="142">
        <f>'Office Minor'!G81</f>
        <v>13240338</v>
      </c>
      <c r="H440" s="142">
        <f>'Office Minor'!H81</f>
        <v>25</v>
      </c>
    </row>
    <row r="441" spans="1:15" ht="17.100000000000001" customHeight="1" x14ac:dyDescent="0.25">
      <c r="A441" s="133">
        <v>3</v>
      </c>
      <c r="B441" s="192" t="s">
        <v>245</v>
      </c>
      <c r="C441" s="208">
        <f>Distt.Minor!C125</f>
        <v>2</v>
      </c>
      <c r="D441" s="208">
        <f>Distt.Minor!D125</f>
        <v>9.7200000000000006</v>
      </c>
      <c r="E441" s="208">
        <f>Distt.Minor!E125</f>
        <v>288619</v>
      </c>
      <c r="F441" s="208">
        <f>Distt.Minor!F125</f>
        <v>173148224</v>
      </c>
      <c r="G441" s="208">
        <f>Distt.Minor!G125</f>
        <v>17179150</v>
      </c>
      <c r="H441" s="208">
        <f>Distt.Minor!H125</f>
        <v>0</v>
      </c>
    </row>
    <row r="442" spans="1:15" ht="17.100000000000001" customHeight="1" x14ac:dyDescent="0.25">
      <c r="A442" s="133">
        <v>4</v>
      </c>
      <c r="B442" s="192" t="s">
        <v>247</v>
      </c>
      <c r="C442" s="208">
        <f>Distt.Minor!C158</f>
        <v>0</v>
      </c>
      <c r="D442" s="208">
        <f>Distt.Minor!D158</f>
        <v>0</v>
      </c>
      <c r="E442" s="208">
        <f>Distt.Minor!E158</f>
        <v>314.04000000000002</v>
      </c>
      <c r="F442" s="208">
        <f>Distt.Minor!F158</f>
        <v>207266.40000000002</v>
      </c>
      <c r="G442" s="208">
        <f>Distt.Minor!G158</f>
        <v>5167</v>
      </c>
      <c r="H442" s="208">
        <f>Distt.Minor!H158</f>
        <v>5</v>
      </c>
    </row>
    <row r="443" spans="1:15" ht="17.100000000000001" customHeight="1" x14ac:dyDescent="0.25">
      <c r="A443" s="133">
        <v>5</v>
      </c>
      <c r="B443" s="19" t="s">
        <v>248</v>
      </c>
      <c r="C443" s="137">
        <f>Distt.Minor!C183</f>
        <v>24</v>
      </c>
      <c r="D443" s="137">
        <f>Distt.Minor!D183</f>
        <v>95</v>
      </c>
      <c r="E443" s="137">
        <f>Distt.Minor!E183</f>
        <v>90898.44</v>
      </c>
      <c r="F443" s="137">
        <f>Distt.Minor!F183</f>
        <v>54452665.600000001</v>
      </c>
      <c r="G443" s="137">
        <f>Distt.Minor!G183</f>
        <v>13294617</v>
      </c>
      <c r="H443" s="137">
        <f>Distt.Minor!H183</f>
        <v>313</v>
      </c>
    </row>
    <row r="444" spans="1:15" ht="17.100000000000001" customHeight="1" x14ac:dyDescent="0.25">
      <c r="A444" s="133">
        <v>6</v>
      </c>
      <c r="B444" s="192" t="s">
        <v>249</v>
      </c>
      <c r="C444" s="133">
        <f>Distt.Minor!C210</f>
        <v>2</v>
      </c>
      <c r="D444" s="133">
        <f>Distt.Minor!D210</f>
        <v>144.38999999999999</v>
      </c>
      <c r="E444" s="133">
        <f>Distt.Minor!E210</f>
        <v>41674</v>
      </c>
      <c r="F444" s="133">
        <f>Distt.Minor!F210</f>
        <v>25004400</v>
      </c>
      <c r="G444" s="133">
        <f>Distt.Minor!G210</f>
        <v>4065003</v>
      </c>
      <c r="H444" s="133">
        <f>Distt.Minor!H210</f>
        <v>8</v>
      </c>
    </row>
    <row r="445" spans="1:15" ht="17.100000000000001" customHeight="1" x14ac:dyDescent="0.25">
      <c r="A445" s="133">
        <v>7</v>
      </c>
      <c r="B445" s="192" t="s">
        <v>250</v>
      </c>
      <c r="C445" s="133">
        <f>Distt.Minor!C241</f>
        <v>44</v>
      </c>
      <c r="D445" s="133">
        <f>Distt.Minor!D241</f>
        <v>54.51</v>
      </c>
      <c r="E445" s="133">
        <f>Distt.Minor!E241</f>
        <v>132496</v>
      </c>
      <c r="F445" s="133">
        <f>Distt.Minor!F241</f>
        <v>86122588</v>
      </c>
      <c r="G445" s="133">
        <f>Distt.Minor!G241</f>
        <v>31289864</v>
      </c>
      <c r="H445" s="133">
        <f>Distt.Minor!H241</f>
        <v>450</v>
      </c>
    </row>
    <row r="446" spans="1:15" ht="17.100000000000001" customHeight="1" x14ac:dyDescent="0.25">
      <c r="A446" s="133">
        <v>8</v>
      </c>
      <c r="B446" s="192" t="s">
        <v>252</v>
      </c>
      <c r="C446" s="196">
        <f>Distt.Minor!C295</f>
        <v>4</v>
      </c>
      <c r="D446" s="196">
        <f>Distt.Minor!D295</f>
        <v>229.87</v>
      </c>
      <c r="E446" s="196">
        <f>Distt.Minor!E295</f>
        <v>1495</v>
      </c>
      <c r="F446" s="196">
        <f>Distt.Minor!F295</f>
        <v>897468</v>
      </c>
      <c r="G446" s="196">
        <f>Distt.Minor!G295</f>
        <v>130133</v>
      </c>
      <c r="H446" s="196">
        <f>Distt.Minor!H295</f>
        <v>30</v>
      </c>
    </row>
    <row r="447" spans="1:15" ht="17.100000000000001" customHeight="1" x14ac:dyDescent="0.25">
      <c r="A447" s="133">
        <v>9</v>
      </c>
      <c r="B447" s="621" t="s">
        <v>261</v>
      </c>
      <c r="C447" s="208">
        <f>Distt.Minor!C455</f>
        <v>0</v>
      </c>
      <c r="D447" s="208">
        <f>Distt.Minor!D455</f>
        <v>0</v>
      </c>
      <c r="E447" s="208">
        <f>Distt.Minor!E455</f>
        <v>536</v>
      </c>
      <c r="F447" s="208">
        <f>Distt.Minor!F455</f>
        <v>258888</v>
      </c>
      <c r="G447" s="208">
        <f>Distt.Minor!G455</f>
        <v>53600</v>
      </c>
      <c r="H447" s="208">
        <f>Distt.Minor!H455</f>
        <v>10</v>
      </c>
    </row>
    <row r="448" spans="1:15" ht="17.100000000000001" customHeight="1" x14ac:dyDescent="0.25">
      <c r="A448" s="133">
        <v>10</v>
      </c>
      <c r="B448" s="192" t="s">
        <v>432</v>
      </c>
      <c r="C448" s="133">
        <f>Distt.Minor!C415</f>
        <v>4</v>
      </c>
      <c r="D448" s="133">
        <f>Distt.Minor!D415</f>
        <v>18.82</v>
      </c>
      <c r="E448" s="133">
        <f>Distt.Minor!E415</f>
        <v>11381</v>
      </c>
      <c r="F448" s="133">
        <f>Distt.Minor!F415</f>
        <v>5121472</v>
      </c>
      <c r="G448" s="133">
        <f>Distt.Minor!G415</f>
        <v>1193315</v>
      </c>
      <c r="H448" s="133">
        <f>Distt.Minor!H415</f>
        <v>10</v>
      </c>
    </row>
    <row r="449" spans="1:15" ht="17.100000000000001" customHeight="1" x14ac:dyDescent="0.25">
      <c r="A449" s="133">
        <v>11</v>
      </c>
      <c r="B449" s="192" t="s">
        <v>260</v>
      </c>
      <c r="C449" s="196">
        <f>Distt.Minor!C435</f>
        <v>15</v>
      </c>
      <c r="D449" s="196">
        <f>Distt.Minor!D435</f>
        <v>125.8</v>
      </c>
      <c r="E449" s="196">
        <f>Distt.Minor!E435</f>
        <v>123415</v>
      </c>
      <c r="F449" s="196">
        <f>Distt.Minor!F435</f>
        <v>55536840</v>
      </c>
      <c r="G449" s="196">
        <f>Distt.Minor!G435</f>
        <v>28920270</v>
      </c>
      <c r="H449" s="196">
        <f>Distt.Minor!H435</f>
        <v>60</v>
      </c>
    </row>
    <row r="450" spans="1:15" ht="17.100000000000001" customHeight="1" x14ac:dyDescent="0.25">
      <c r="A450" s="133">
        <v>12</v>
      </c>
      <c r="B450" s="192" t="s">
        <v>262</v>
      </c>
      <c r="C450" s="133">
        <f>Distt.Minor!C473</f>
        <v>322</v>
      </c>
      <c r="D450" s="133">
        <f>Distt.Minor!D473</f>
        <v>1462.4299999999998</v>
      </c>
      <c r="E450" s="133">
        <f>Distt.Minor!E473</f>
        <v>2075997</v>
      </c>
      <c r="F450" s="133">
        <f>Distt.Minor!F473</f>
        <v>1003998684</v>
      </c>
      <c r="G450" s="133">
        <f>Distt.Minor!G473</f>
        <v>116637645</v>
      </c>
      <c r="H450" s="133">
        <f>Distt.Minor!H473</f>
        <v>12364</v>
      </c>
    </row>
    <row r="451" spans="1:15" ht="17.100000000000001" customHeight="1" x14ac:dyDescent="0.25">
      <c r="A451" s="133">
        <v>13</v>
      </c>
      <c r="B451" s="192" t="s">
        <v>276</v>
      </c>
      <c r="C451" s="133">
        <f>Distt.Minor!C492</f>
        <v>3</v>
      </c>
      <c r="D451" s="133">
        <f>Distt.Minor!D492</f>
        <v>17.25</v>
      </c>
      <c r="E451" s="133">
        <f>Distt.Minor!E492</f>
        <v>20568</v>
      </c>
      <c r="F451" s="133">
        <f>Distt.Minor!F492</f>
        <v>12341352</v>
      </c>
      <c r="G451" s="133">
        <f>Distt.Minor!G492</f>
        <v>1966772</v>
      </c>
      <c r="H451" s="133">
        <f>Distt.Minor!H492</f>
        <v>150</v>
      </c>
    </row>
    <row r="452" spans="1:15" ht="17.100000000000001" customHeight="1" x14ac:dyDescent="0.25">
      <c r="A452" s="133">
        <v>14</v>
      </c>
      <c r="B452" s="19" t="s">
        <v>265</v>
      </c>
      <c r="C452" s="133">
        <f>Distt.Minor!C543</f>
        <v>19</v>
      </c>
      <c r="D452" s="133">
        <f>Distt.Minor!D543</f>
        <v>80.180000000000007</v>
      </c>
      <c r="E452" s="133">
        <f>Distt.Minor!E543</f>
        <v>203910</v>
      </c>
      <c r="F452" s="133">
        <f>Distt.Minor!F543</f>
        <v>132541858</v>
      </c>
      <c r="G452" s="133">
        <f>Distt.Minor!G543</f>
        <v>11648349</v>
      </c>
      <c r="H452" s="133">
        <f>Distt.Minor!H543</f>
        <v>150</v>
      </c>
    </row>
    <row r="453" spans="1:15" ht="17.100000000000001" customHeight="1" x14ac:dyDescent="0.25">
      <c r="A453" s="133">
        <v>15</v>
      </c>
      <c r="B453" s="19" t="s">
        <v>264</v>
      </c>
      <c r="C453" s="133">
        <f>Distt.Minor!C525</f>
        <v>9</v>
      </c>
      <c r="D453" s="133">
        <f>Distt.Minor!D525</f>
        <v>40.44</v>
      </c>
      <c r="E453" s="133">
        <f>Distt.Minor!E525</f>
        <v>322153</v>
      </c>
      <c r="F453" s="133">
        <f>Distt.Minor!F525</f>
        <v>193259580</v>
      </c>
      <c r="G453" s="133">
        <f>Distt.Minor!G525</f>
        <v>3403234</v>
      </c>
      <c r="H453" s="133">
        <f>Distt.Minor!H525</f>
        <v>120</v>
      </c>
    </row>
    <row r="454" spans="1:15" ht="17.100000000000001" customHeight="1" x14ac:dyDescent="0.25">
      <c r="A454" s="133">
        <v>16</v>
      </c>
      <c r="B454" s="192" t="s">
        <v>278</v>
      </c>
      <c r="C454" s="133">
        <f>Distt.Minor!C559</f>
        <v>70</v>
      </c>
      <c r="D454" s="133">
        <f>Distt.Minor!D559</f>
        <v>355.93</v>
      </c>
      <c r="E454" s="133">
        <f>Distt.Minor!E559</f>
        <v>406748</v>
      </c>
      <c r="F454" s="133">
        <f>Distt.Minor!F559</f>
        <v>246082540</v>
      </c>
      <c r="G454" s="133">
        <f>Distt.Minor!G559</f>
        <v>37420816</v>
      </c>
      <c r="H454" s="133">
        <f>Distt.Minor!H559</f>
        <v>150</v>
      </c>
    </row>
    <row r="455" spans="1:15" ht="17.100000000000001" customHeight="1" x14ac:dyDescent="0.25">
      <c r="A455" s="133">
        <v>17</v>
      </c>
      <c r="B455" s="192" t="s">
        <v>267</v>
      </c>
      <c r="C455" s="133">
        <f>Distt.Minor!C587</f>
        <v>18</v>
      </c>
      <c r="D455" s="133">
        <f>Distt.Minor!D587</f>
        <v>70.58</v>
      </c>
      <c r="E455" s="133">
        <f>Distt.Minor!E587</f>
        <v>281030</v>
      </c>
      <c r="F455" s="133">
        <f>Distt.Minor!F587</f>
        <v>169676958.64640447</v>
      </c>
      <c r="G455" s="133">
        <f>Distt.Minor!G587</f>
        <v>94995573</v>
      </c>
      <c r="H455" s="133">
        <f>Distt.Minor!H587</f>
        <v>340</v>
      </c>
    </row>
    <row r="456" spans="1:15" ht="17.100000000000001" customHeight="1" x14ac:dyDescent="0.25">
      <c r="A456" s="1300" t="s">
        <v>50</v>
      </c>
      <c r="B456" s="1301"/>
      <c r="C456" s="4">
        <f>SUM(C439:C455)</f>
        <v>653</v>
      </c>
      <c r="D456" s="4">
        <f t="shared" ref="D456:H456" si="58">SUM(D439:D455)</f>
        <v>3467.4999999999995</v>
      </c>
      <c r="E456" s="4">
        <f t="shared" si="58"/>
        <v>4163495.05</v>
      </c>
      <c r="F456" s="4">
        <f t="shared" si="58"/>
        <v>2258761539.6464043</v>
      </c>
      <c r="G456" s="4">
        <f t="shared" si="58"/>
        <v>381050756</v>
      </c>
      <c r="H456" s="4">
        <f t="shared" si="58"/>
        <v>14335</v>
      </c>
      <c r="J456" s="238">
        <f>'Minor Minerals'!C543</f>
        <v>653</v>
      </c>
      <c r="K456" s="238">
        <f>'Minor Minerals'!D543</f>
        <v>3467.5</v>
      </c>
      <c r="L456" s="238">
        <f>'Minor Minerals'!E543</f>
        <v>4163495.05</v>
      </c>
      <c r="M456" s="238">
        <f>'Minor Minerals'!F543</f>
        <v>2258761539.6464043</v>
      </c>
      <c r="N456" s="238">
        <f>'Minor Minerals'!G543</f>
        <v>381050756</v>
      </c>
      <c r="O456" s="238">
        <f>'Minor Minerals'!H543</f>
        <v>14335</v>
      </c>
    </row>
    <row r="457" spans="1:15" ht="17.100000000000001" customHeight="1" x14ac:dyDescent="0.25">
      <c r="A457" s="136"/>
      <c r="B457" s="136"/>
      <c r="C457" s="136"/>
      <c r="D457" s="136"/>
      <c r="E457" s="136"/>
      <c r="F457" s="136"/>
      <c r="G457" s="136"/>
      <c r="H457" s="136"/>
      <c r="J457" s="128">
        <f>J456-C456</f>
        <v>0</v>
      </c>
      <c r="K457" s="128">
        <f t="shared" ref="K457:O457" si="59">K456-D456</f>
        <v>0</v>
      </c>
      <c r="L457" s="128">
        <f t="shared" si="59"/>
        <v>0</v>
      </c>
      <c r="M457" s="128">
        <f t="shared" si="59"/>
        <v>0</v>
      </c>
      <c r="N457" s="128">
        <f t="shared" si="59"/>
        <v>0</v>
      </c>
      <c r="O457" s="128">
        <f t="shared" si="59"/>
        <v>0</v>
      </c>
    </row>
    <row r="458" spans="1:15" ht="17.100000000000001" customHeight="1" x14ac:dyDescent="0.25">
      <c r="A458" s="1155" t="s">
        <v>69</v>
      </c>
      <c r="B458" s="1155"/>
      <c r="C458" s="1155"/>
      <c r="D458" s="1155"/>
      <c r="E458" s="1155"/>
      <c r="F458" s="1155"/>
      <c r="G458" s="1155"/>
      <c r="H458" s="1155"/>
    </row>
    <row r="459" spans="1:15" ht="17.100000000000001" customHeight="1" x14ac:dyDescent="0.25">
      <c r="A459" s="1122" t="s">
        <v>2</v>
      </c>
      <c r="B459" s="1124" t="s">
        <v>270</v>
      </c>
      <c r="C459" s="249" t="s">
        <v>4</v>
      </c>
      <c r="D459" s="249" t="s">
        <v>5</v>
      </c>
      <c r="E459" s="249" t="s">
        <v>6</v>
      </c>
      <c r="F459" s="249" t="s">
        <v>7</v>
      </c>
      <c r="G459" s="249" t="s">
        <v>8</v>
      </c>
      <c r="H459" s="249" t="s">
        <v>9</v>
      </c>
    </row>
    <row r="460" spans="1:15" ht="17.100000000000001" customHeight="1" x14ac:dyDescent="0.25">
      <c r="A460" s="1123"/>
      <c r="B460" s="1125"/>
      <c r="C460" s="2" t="s">
        <v>10</v>
      </c>
      <c r="D460" s="2" t="s">
        <v>52</v>
      </c>
      <c r="E460" s="2" t="s">
        <v>79</v>
      </c>
      <c r="F460" s="52" t="s">
        <v>80</v>
      </c>
      <c r="G460" s="52" t="s">
        <v>80</v>
      </c>
      <c r="H460" s="2" t="s">
        <v>13</v>
      </c>
    </row>
    <row r="461" spans="1:15" ht="17.100000000000001" customHeight="1" x14ac:dyDescent="0.25">
      <c r="A461" s="133">
        <v>1</v>
      </c>
      <c r="B461" s="188" t="s">
        <v>257</v>
      </c>
      <c r="C461" s="117">
        <f>Distt.Minor!C358</f>
        <v>162</v>
      </c>
      <c r="D461" s="117">
        <f>Distt.Minor!D358</f>
        <v>166.92</v>
      </c>
      <c r="E461" s="117">
        <f>Distt.Minor!E358</f>
        <v>2775069</v>
      </c>
      <c r="F461" s="117">
        <f>Distt.Minor!F358</f>
        <v>346883707</v>
      </c>
      <c r="G461" s="117">
        <f>Distt.Minor!G358</f>
        <v>128401000</v>
      </c>
      <c r="H461" s="117">
        <f>Distt.Minor!H358</f>
        <v>625</v>
      </c>
    </row>
    <row r="462" spans="1:15" ht="17.100000000000001" customHeight="1" x14ac:dyDescent="0.25">
      <c r="A462" s="133">
        <v>2</v>
      </c>
      <c r="B462" s="188" t="s">
        <v>255</v>
      </c>
      <c r="C462" s="117">
        <f>Distt.Minor!C314</f>
        <v>5</v>
      </c>
      <c r="D462" s="117">
        <f>Distt.Minor!D314</f>
        <v>5</v>
      </c>
      <c r="E462" s="117">
        <f>Distt.Minor!E314</f>
        <v>22304</v>
      </c>
      <c r="F462" s="117">
        <f>Distt.Minor!F314</f>
        <v>5576000</v>
      </c>
      <c r="G462" s="117">
        <f>Distt.Minor!G314</f>
        <v>2721088</v>
      </c>
      <c r="H462" s="117">
        <f>Distt.Minor!H314</f>
        <v>50</v>
      </c>
    </row>
    <row r="463" spans="1:15" ht="17.100000000000001" customHeight="1" x14ac:dyDescent="0.25">
      <c r="A463" s="133">
        <v>3</v>
      </c>
      <c r="B463" s="188" t="s">
        <v>260</v>
      </c>
      <c r="C463" s="116">
        <f>Distt.Minor!C427</f>
        <v>7</v>
      </c>
      <c r="D463" s="116">
        <f>Distt.Minor!D427</f>
        <v>12.24</v>
      </c>
      <c r="E463" s="116">
        <f>Distt.Minor!E427</f>
        <v>49040</v>
      </c>
      <c r="F463" s="116">
        <f>Distt.Minor!F427</f>
        <v>6865480</v>
      </c>
      <c r="G463" s="116">
        <f>Distt.Minor!G427</f>
        <v>2242200</v>
      </c>
      <c r="H463" s="116">
        <f>Distt.Minor!H427</f>
        <v>30</v>
      </c>
    </row>
    <row r="464" spans="1:15" ht="17.100000000000001" customHeight="1" x14ac:dyDescent="0.25">
      <c r="A464" s="1300" t="s">
        <v>50</v>
      </c>
      <c r="B464" s="1301"/>
      <c r="C464" s="35">
        <f t="shared" ref="C464:H464" si="60">SUM(C461:C463)</f>
        <v>174</v>
      </c>
      <c r="D464" s="34">
        <f t="shared" si="60"/>
        <v>184.16</v>
      </c>
      <c r="E464" s="33">
        <f t="shared" si="60"/>
        <v>2846413</v>
      </c>
      <c r="F464" s="35">
        <f t="shared" si="60"/>
        <v>359325187</v>
      </c>
      <c r="G464" s="33">
        <f t="shared" si="60"/>
        <v>133364288</v>
      </c>
      <c r="H464" s="33">
        <f t="shared" si="60"/>
        <v>705</v>
      </c>
      <c r="J464" s="240">
        <f>'Minor Minerals'!C551</f>
        <v>174</v>
      </c>
      <c r="K464" s="240">
        <f>'Minor Minerals'!D551</f>
        <v>184.16</v>
      </c>
      <c r="L464" s="240">
        <f>'Minor Minerals'!E551</f>
        <v>2846413</v>
      </c>
      <c r="M464" s="240">
        <f>'Minor Minerals'!F551</f>
        <v>359325187</v>
      </c>
      <c r="N464" s="240">
        <f>'Minor Minerals'!G551</f>
        <v>133364288</v>
      </c>
      <c r="O464" s="240">
        <f>'Minor Minerals'!H551</f>
        <v>705</v>
      </c>
    </row>
    <row r="465" spans="1:15" ht="17.100000000000001" customHeight="1" x14ac:dyDescent="0.25">
      <c r="A465" s="136"/>
      <c r="B465" s="136"/>
      <c r="C465" s="136"/>
      <c r="D465" s="136"/>
      <c r="E465" s="136"/>
      <c r="F465" s="136"/>
      <c r="G465" s="136"/>
      <c r="H465" s="136"/>
      <c r="J465" s="128">
        <f>J464-C464</f>
        <v>0</v>
      </c>
      <c r="K465" s="128">
        <f t="shared" ref="K465:O465" si="61">K464-D464</f>
        <v>0</v>
      </c>
      <c r="L465" s="128">
        <f t="shared" si="61"/>
        <v>0</v>
      </c>
      <c r="M465" s="128">
        <f t="shared" si="61"/>
        <v>0</v>
      </c>
      <c r="N465" s="128">
        <f t="shared" si="61"/>
        <v>0</v>
      </c>
      <c r="O465" s="128">
        <f t="shared" si="61"/>
        <v>0</v>
      </c>
    </row>
    <row r="466" spans="1:15" ht="17.100000000000001" customHeight="1" x14ac:dyDescent="0.25">
      <c r="A466" s="1155" t="s">
        <v>70</v>
      </c>
      <c r="B466" s="1155"/>
      <c r="C466" s="1155"/>
      <c r="D466" s="1155"/>
      <c r="E466" s="1155"/>
      <c r="F466" s="1155"/>
      <c r="G466" s="1155"/>
      <c r="H466" s="1155"/>
    </row>
    <row r="467" spans="1:15" ht="17.100000000000001" customHeight="1" x14ac:dyDescent="0.25">
      <c r="A467" s="1122" t="s">
        <v>2</v>
      </c>
      <c r="B467" s="1124" t="s">
        <v>270</v>
      </c>
      <c r="C467" s="249" t="s">
        <v>4</v>
      </c>
      <c r="D467" s="249" t="s">
        <v>5</v>
      </c>
      <c r="E467" s="249" t="s">
        <v>6</v>
      </c>
      <c r="F467" s="249" t="s">
        <v>7</v>
      </c>
      <c r="G467" s="249" t="s">
        <v>8</v>
      </c>
      <c r="H467" s="249" t="s">
        <v>9</v>
      </c>
    </row>
    <row r="468" spans="1:15" ht="17.100000000000001" customHeight="1" x14ac:dyDescent="0.25">
      <c r="A468" s="1123"/>
      <c r="B468" s="1125"/>
      <c r="C468" s="2" t="s">
        <v>10</v>
      </c>
      <c r="D468" s="2" t="s">
        <v>52</v>
      </c>
      <c r="E468" s="2" t="s">
        <v>79</v>
      </c>
      <c r="F468" s="52" t="s">
        <v>80</v>
      </c>
      <c r="G468" s="52" t="s">
        <v>80</v>
      </c>
      <c r="H468" s="2" t="s">
        <v>13</v>
      </c>
    </row>
    <row r="469" spans="1:15" ht="17.100000000000001" customHeight="1" x14ac:dyDescent="0.25">
      <c r="A469" s="133">
        <v>1</v>
      </c>
      <c r="B469" s="188" t="s">
        <v>418</v>
      </c>
      <c r="C469" s="117">
        <f>Distt.Minor!C251</f>
        <v>0</v>
      </c>
      <c r="D469" s="117">
        <f>Distt.Minor!D251</f>
        <v>0</v>
      </c>
      <c r="E469" s="117">
        <f>Distt.Minor!E251</f>
        <v>0</v>
      </c>
      <c r="F469" s="117">
        <f>Distt.Minor!F251</f>
        <v>0</v>
      </c>
      <c r="G469" s="117">
        <f>Distt.Minor!G251</f>
        <v>0</v>
      </c>
      <c r="H469" s="117">
        <f>Distt.Minor!H251</f>
        <v>0</v>
      </c>
    </row>
    <row r="470" spans="1:15" ht="17.100000000000001" customHeight="1" x14ac:dyDescent="0.25">
      <c r="A470" s="1300" t="s">
        <v>50</v>
      </c>
      <c r="B470" s="1301"/>
      <c r="C470" s="35">
        <f t="shared" ref="C470:H470" si="62">SUM(C469)</f>
        <v>0</v>
      </c>
      <c r="D470" s="34">
        <f t="shared" si="62"/>
        <v>0</v>
      </c>
      <c r="E470" s="33">
        <f t="shared" si="62"/>
        <v>0</v>
      </c>
      <c r="F470" s="35">
        <f t="shared" si="62"/>
        <v>0</v>
      </c>
      <c r="G470" s="33">
        <f t="shared" si="62"/>
        <v>0</v>
      </c>
      <c r="H470" s="33">
        <f t="shared" si="62"/>
        <v>0</v>
      </c>
    </row>
    <row r="471" spans="1:15" ht="17.100000000000001" customHeight="1" x14ac:dyDescent="0.25">
      <c r="A471" s="136"/>
      <c r="B471" s="136"/>
      <c r="C471" s="136"/>
      <c r="D471" s="136"/>
      <c r="E471" s="136"/>
      <c r="F471" s="136"/>
      <c r="G471" s="136"/>
      <c r="H471" s="136"/>
    </row>
    <row r="472" spans="1:15" ht="17.100000000000001" customHeight="1" x14ac:dyDescent="0.25">
      <c r="A472" s="136"/>
      <c r="B472" s="136"/>
      <c r="C472" s="136"/>
      <c r="D472" s="136"/>
      <c r="E472" s="136"/>
      <c r="F472" s="136"/>
      <c r="G472" s="136"/>
      <c r="H472" s="136"/>
    </row>
    <row r="473" spans="1:15" ht="17.100000000000001" customHeight="1" x14ac:dyDescent="0.25">
      <c r="A473" s="1155" t="s">
        <v>71</v>
      </c>
      <c r="B473" s="1155"/>
      <c r="C473" s="1155"/>
      <c r="D473" s="1155"/>
      <c r="E473" s="1155"/>
      <c r="F473" s="1155"/>
      <c r="G473" s="1155"/>
      <c r="H473" s="1155"/>
    </row>
    <row r="474" spans="1:15" ht="17.100000000000001" customHeight="1" x14ac:dyDescent="0.25">
      <c r="A474" s="1122" t="s">
        <v>2</v>
      </c>
      <c r="B474" s="1124" t="s">
        <v>270</v>
      </c>
      <c r="C474" s="249" t="s">
        <v>4</v>
      </c>
      <c r="D474" s="249" t="s">
        <v>5</v>
      </c>
      <c r="E474" s="249" t="s">
        <v>6</v>
      </c>
      <c r="F474" s="249" t="s">
        <v>7</v>
      </c>
      <c r="G474" s="249" t="s">
        <v>8</v>
      </c>
      <c r="H474" s="249" t="s">
        <v>9</v>
      </c>
    </row>
    <row r="475" spans="1:15" ht="17.100000000000001" customHeight="1" x14ac:dyDescent="0.25">
      <c r="A475" s="1123"/>
      <c r="B475" s="1125"/>
      <c r="C475" s="2" t="s">
        <v>10</v>
      </c>
      <c r="D475" s="2" t="s">
        <v>52</v>
      </c>
      <c r="E475" s="2" t="s">
        <v>79</v>
      </c>
      <c r="F475" s="52" t="s">
        <v>80</v>
      </c>
      <c r="G475" s="52" t="s">
        <v>80</v>
      </c>
      <c r="H475" s="2" t="s">
        <v>13</v>
      </c>
    </row>
    <row r="476" spans="1:15" ht="17.100000000000001" customHeight="1" x14ac:dyDescent="0.25">
      <c r="A476" s="133">
        <v>1</v>
      </c>
      <c r="B476" s="188" t="s">
        <v>282</v>
      </c>
      <c r="C476" s="190">
        <f>Distt.Minor!C83</f>
        <v>2</v>
      </c>
      <c r="D476" s="190">
        <f>Distt.Minor!D83</f>
        <v>2</v>
      </c>
      <c r="E476" s="190">
        <f>Distt.Minor!E83</f>
        <v>0</v>
      </c>
      <c r="F476" s="190">
        <f>Distt.Minor!F83</f>
        <v>0</v>
      </c>
      <c r="G476" s="190">
        <f>Distt.Minor!G83</f>
        <v>0</v>
      </c>
      <c r="H476" s="190">
        <f>Distt.Minor!H83</f>
        <v>0</v>
      </c>
    </row>
    <row r="477" spans="1:15" ht="17.100000000000001" customHeight="1" x14ac:dyDescent="0.25">
      <c r="A477" s="133">
        <v>2</v>
      </c>
      <c r="B477" s="188" t="s">
        <v>243</v>
      </c>
      <c r="C477" s="204">
        <f>Distt.Minor!C65</f>
        <v>1</v>
      </c>
      <c r="D477" s="204">
        <f>Distt.Minor!D65</f>
        <v>2</v>
      </c>
      <c r="E477" s="204">
        <f>Distt.Minor!E65</f>
        <v>940</v>
      </c>
      <c r="F477" s="204">
        <f>Distt.Minor!F65</f>
        <v>705000</v>
      </c>
      <c r="G477" s="204">
        <f>Distt.Minor!G65</f>
        <v>140000</v>
      </c>
      <c r="H477" s="204">
        <f>Distt.Minor!H65</f>
        <v>2</v>
      </c>
    </row>
    <row r="478" spans="1:15" ht="17.100000000000001" customHeight="1" x14ac:dyDescent="0.25">
      <c r="A478" s="133">
        <v>3</v>
      </c>
      <c r="B478" s="188" t="s">
        <v>245</v>
      </c>
      <c r="C478" s="311">
        <f>Distt.Minor!C127</f>
        <v>0</v>
      </c>
      <c r="D478" s="311">
        <f>Distt.Minor!D127</f>
        <v>0</v>
      </c>
      <c r="E478" s="311">
        <f>Distt.Minor!E127</f>
        <v>2843451</v>
      </c>
      <c r="F478" s="311">
        <f>Distt.Minor!F127</f>
        <v>2843450610</v>
      </c>
      <c r="G478" s="311">
        <f>Distt.Minor!G127</f>
        <v>667696906</v>
      </c>
      <c r="H478" s="311">
        <f>Distt.Minor!H127</f>
        <v>5000</v>
      </c>
    </row>
    <row r="479" spans="1:15" ht="17.100000000000001" customHeight="1" x14ac:dyDescent="0.25">
      <c r="A479" s="133">
        <v>4</v>
      </c>
      <c r="B479" s="188" t="s">
        <v>244</v>
      </c>
      <c r="C479" s="205">
        <f>Distt.Minor!C95</f>
        <v>74</v>
      </c>
      <c r="D479" s="205">
        <f>Distt.Minor!D95</f>
        <v>550.87</v>
      </c>
      <c r="E479" s="205">
        <f>Distt.Minor!E95</f>
        <v>335881</v>
      </c>
      <c r="F479" s="205">
        <f>Distt.Minor!F95</f>
        <v>251910750</v>
      </c>
      <c r="G479" s="205">
        <f>Distt.Minor!G95</f>
        <v>26870480</v>
      </c>
      <c r="H479" s="205">
        <f>Distt.Minor!H95</f>
        <v>350</v>
      </c>
    </row>
    <row r="480" spans="1:15" ht="17.100000000000001" customHeight="1" x14ac:dyDescent="0.25">
      <c r="A480" s="133">
        <v>5</v>
      </c>
      <c r="B480" s="188" t="s">
        <v>246</v>
      </c>
      <c r="C480" s="198">
        <f>Distt.Minor!C140</f>
        <v>1</v>
      </c>
      <c r="D480" s="198">
        <f>Distt.Minor!D140</f>
        <v>3.28</v>
      </c>
      <c r="E480" s="198">
        <f>Distt.Minor!E140</f>
        <v>1185</v>
      </c>
      <c r="F480" s="198">
        <f>Distt.Minor!F140</f>
        <v>888750</v>
      </c>
      <c r="G480" s="198">
        <f>Distt.Minor!G140</f>
        <v>747900</v>
      </c>
      <c r="H480" s="198">
        <f>Distt.Minor!H140</f>
        <v>85</v>
      </c>
    </row>
    <row r="481" spans="1:15" ht="17.100000000000001" customHeight="1" x14ac:dyDescent="0.25">
      <c r="A481" s="133">
        <v>6</v>
      </c>
      <c r="B481" s="188" t="s">
        <v>283</v>
      </c>
      <c r="C481" s="117">
        <f>Distt.Minor!C150</f>
        <v>562</v>
      </c>
      <c r="D481" s="117">
        <f>Distt.Minor!D150</f>
        <v>1474.2532999999999</v>
      </c>
      <c r="E481" s="117">
        <f>Distt.Minor!E150</f>
        <v>1271728</v>
      </c>
      <c r="F481" s="117">
        <f>Distt.Minor!F150</f>
        <v>1042060270</v>
      </c>
      <c r="G481" s="117">
        <f>Distt.Minor!G150</f>
        <v>543659327</v>
      </c>
      <c r="H481" s="117">
        <f>Distt.Minor!H150</f>
        <v>7485</v>
      </c>
    </row>
    <row r="482" spans="1:15" ht="17.100000000000001" customHeight="1" x14ac:dyDescent="0.25">
      <c r="A482" s="133">
        <v>7</v>
      </c>
      <c r="B482" s="188" t="s">
        <v>248</v>
      </c>
      <c r="C482" s="220">
        <f>Distt.Minor!C171</f>
        <v>0</v>
      </c>
      <c r="D482" s="220">
        <f>Distt.Minor!D171</f>
        <v>0</v>
      </c>
      <c r="E482" s="220">
        <f>Distt.Minor!E171</f>
        <v>32094.57</v>
      </c>
      <c r="F482" s="220">
        <f>Distt.Minor!F171</f>
        <v>32094570</v>
      </c>
      <c r="G482" s="220">
        <f>Distt.Minor!G171</f>
        <v>3209457</v>
      </c>
      <c r="H482" s="220">
        <f>Distt.Minor!H171</f>
        <v>70</v>
      </c>
    </row>
    <row r="483" spans="1:15" ht="17.100000000000001" customHeight="1" x14ac:dyDescent="0.25">
      <c r="A483" s="133">
        <v>8</v>
      </c>
      <c r="B483" s="188" t="s">
        <v>284</v>
      </c>
      <c r="C483" s="190">
        <f>Distt.Minor!C196</f>
        <v>0</v>
      </c>
      <c r="D483" s="190">
        <f>Distt.Minor!D196</f>
        <v>0</v>
      </c>
      <c r="E483" s="190">
        <f>Distt.Minor!E196</f>
        <v>11389</v>
      </c>
      <c r="F483" s="190">
        <f>Distt.Minor!F196</f>
        <v>9111200</v>
      </c>
      <c r="G483" s="190">
        <f>Distt.Minor!G196</f>
        <v>3169357</v>
      </c>
      <c r="H483" s="190">
        <f>Distt.Minor!H196</f>
        <v>15</v>
      </c>
    </row>
    <row r="484" spans="1:15" ht="17.100000000000001" customHeight="1" x14ac:dyDescent="0.25">
      <c r="A484" s="133">
        <v>9</v>
      </c>
      <c r="B484" s="188" t="s">
        <v>473</v>
      </c>
      <c r="C484" s="190">
        <f>Distt.Minor!C212</f>
        <v>0</v>
      </c>
      <c r="D484" s="190">
        <f>Distt.Minor!D212</f>
        <v>0</v>
      </c>
      <c r="E484" s="190">
        <f>Distt.Minor!E212</f>
        <v>0</v>
      </c>
      <c r="F484" s="190">
        <f>Distt.Minor!F212</f>
        <v>0</v>
      </c>
      <c r="G484" s="190">
        <f>Distt.Minor!G212</f>
        <v>0</v>
      </c>
      <c r="H484" s="190">
        <f>Distt.Minor!H212</f>
        <v>0</v>
      </c>
    </row>
    <row r="485" spans="1:15" ht="17.100000000000001" customHeight="1" x14ac:dyDescent="0.25">
      <c r="A485" s="133">
        <v>10</v>
      </c>
      <c r="B485" s="188" t="s">
        <v>285</v>
      </c>
      <c r="C485" s="141">
        <f>Distt.Minor!C224</f>
        <v>121</v>
      </c>
      <c r="D485" s="141">
        <f>Distt.Minor!D224</f>
        <v>233.8</v>
      </c>
      <c r="E485" s="141">
        <f>Distt.Minor!E224</f>
        <v>586644.89</v>
      </c>
      <c r="F485" s="141">
        <f>Distt.Minor!F224</f>
        <v>439983667.5</v>
      </c>
      <c r="G485" s="141">
        <f>Distt.Minor!G224</f>
        <v>46931591.200000003</v>
      </c>
      <c r="H485" s="141">
        <f>Distt.Minor!H224</f>
        <v>690</v>
      </c>
    </row>
    <row r="486" spans="1:15" ht="17.100000000000001" customHeight="1" x14ac:dyDescent="0.25">
      <c r="A486" s="133">
        <v>11</v>
      </c>
      <c r="B486" s="188" t="s">
        <v>272</v>
      </c>
      <c r="C486" s="141">
        <f>Distt.Minor!C274</f>
        <v>5</v>
      </c>
      <c r="D486" s="141">
        <f>Distt.Minor!D274</f>
        <v>5</v>
      </c>
      <c r="E486" s="141">
        <f>Distt.Minor!E274</f>
        <v>2260</v>
      </c>
      <c r="F486" s="141">
        <f>Distt.Minor!F274</f>
        <v>1694669</v>
      </c>
      <c r="G486" s="141">
        <f>Distt.Minor!G274</f>
        <v>321987</v>
      </c>
      <c r="H486" s="141">
        <f>Distt.Minor!H274</f>
        <v>0</v>
      </c>
    </row>
    <row r="487" spans="1:15" ht="17.100000000000001" customHeight="1" x14ac:dyDescent="0.25">
      <c r="A487" s="133">
        <v>12</v>
      </c>
      <c r="B487" s="188" t="s">
        <v>286</v>
      </c>
      <c r="C487" s="189">
        <f>Distt.Minor!C323</f>
        <v>34</v>
      </c>
      <c r="D487" s="189">
        <f>Distt.Minor!D323</f>
        <v>73.25</v>
      </c>
      <c r="E487" s="189">
        <f>Distt.Minor!E323</f>
        <v>5366</v>
      </c>
      <c r="F487" s="189">
        <f>Distt.Minor!F323</f>
        <v>4024500</v>
      </c>
      <c r="G487" s="189">
        <f>Distt.Minor!G323</f>
        <v>405646</v>
      </c>
      <c r="H487" s="189">
        <f>Distt.Minor!H323</f>
        <v>40</v>
      </c>
    </row>
    <row r="488" spans="1:15" ht="17.100000000000001" customHeight="1" x14ac:dyDescent="0.25">
      <c r="A488" s="133">
        <v>13</v>
      </c>
      <c r="B488" s="188" t="s">
        <v>257</v>
      </c>
      <c r="C488" s="117">
        <f>Distt.Minor!C360</f>
        <v>113</v>
      </c>
      <c r="D488" s="117">
        <f>Distt.Minor!D360</f>
        <v>116.28</v>
      </c>
      <c r="E488" s="117">
        <f>Distt.Minor!E360</f>
        <v>6391161.75</v>
      </c>
      <c r="F488" s="117">
        <f>Distt.Minor!F360</f>
        <v>5431380938</v>
      </c>
      <c r="G488" s="117">
        <f>Distt.Minor!G360</f>
        <v>1938396242</v>
      </c>
      <c r="H488" s="117">
        <f>Distt.Minor!H360</f>
        <v>25198</v>
      </c>
    </row>
    <row r="489" spans="1:15" ht="17.100000000000001" customHeight="1" x14ac:dyDescent="0.25">
      <c r="A489" s="133">
        <v>14</v>
      </c>
      <c r="B489" s="188" t="s">
        <v>288</v>
      </c>
      <c r="C489" s="141">
        <f>Distt.Minor!C374</f>
        <v>98</v>
      </c>
      <c r="D489" s="141">
        <f>Distt.Minor!D374</f>
        <v>2402.69</v>
      </c>
      <c r="E489" s="141">
        <f>Distt.Minor!E374</f>
        <v>419479</v>
      </c>
      <c r="F489" s="141">
        <f>Distt.Minor!F374</f>
        <v>188765550</v>
      </c>
      <c r="G489" s="141">
        <f>Distt.Minor!G374</f>
        <v>8141938</v>
      </c>
      <c r="H489" s="141">
        <f>Distt.Minor!H374</f>
        <v>34</v>
      </c>
    </row>
    <row r="490" spans="1:15" ht="17.100000000000001" customHeight="1" x14ac:dyDescent="0.25">
      <c r="A490" s="133">
        <v>15</v>
      </c>
      <c r="B490" s="188" t="s">
        <v>274</v>
      </c>
      <c r="C490" s="198">
        <f>Distt.Minor!C393</f>
        <v>7</v>
      </c>
      <c r="D490" s="198">
        <f>Distt.Minor!D393</f>
        <v>10.72</v>
      </c>
      <c r="E490" s="198">
        <f>Distt.Minor!E393</f>
        <v>43284</v>
      </c>
      <c r="F490" s="198">
        <f>Distt.Minor!F393</f>
        <v>32463918</v>
      </c>
      <c r="G490" s="198">
        <f>Distt.Minor!G393</f>
        <v>3154204</v>
      </c>
      <c r="H490" s="198">
        <f>Distt.Minor!H393</f>
        <v>14</v>
      </c>
    </row>
    <row r="491" spans="1:15" ht="17.100000000000001" customHeight="1" x14ac:dyDescent="0.25">
      <c r="A491" s="133">
        <v>16</v>
      </c>
      <c r="B491" s="188" t="s">
        <v>259</v>
      </c>
      <c r="C491" s="117">
        <f>Distt.Minor!C407</f>
        <v>0</v>
      </c>
      <c r="D491" s="117">
        <f>Distt.Minor!D407</f>
        <v>0</v>
      </c>
      <c r="E491" s="117">
        <f>Distt.Minor!E407</f>
        <v>417275</v>
      </c>
      <c r="F491" s="117">
        <f>Distt.Minor!F407</f>
        <v>312956340</v>
      </c>
      <c r="G491" s="117">
        <f>Distt.Minor!G407</f>
        <v>23404217</v>
      </c>
      <c r="H491" s="117">
        <f>Distt.Minor!H407</f>
        <v>350</v>
      </c>
    </row>
    <row r="492" spans="1:15" ht="17.100000000000001" customHeight="1" x14ac:dyDescent="0.25">
      <c r="A492" s="1300" t="s">
        <v>50</v>
      </c>
      <c r="B492" s="1301"/>
      <c r="C492" s="35">
        <f t="shared" ref="C492:E492" si="63">SUM(C476:C491)</f>
        <v>1018</v>
      </c>
      <c r="D492" s="44">
        <f t="shared" si="63"/>
        <v>4874.1433000000006</v>
      </c>
      <c r="E492" s="33">
        <f t="shared" si="63"/>
        <v>12362139.210000001</v>
      </c>
      <c r="F492" s="35">
        <f>SUM(F476:F491)</f>
        <v>10591490732.5</v>
      </c>
      <c r="G492" s="33">
        <f>SUM(G476:G491)</f>
        <v>3266249252.1999998</v>
      </c>
      <c r="H492" s="33">
        <f>SUM(H476:H491)</f>
        <v>39333</v>
      </c>
      <c r="J492" s="240">
        <f>'Minor Minerals'!C581</f>
        <v>1018</v>
      </c>
      <c r="K492" s="240">
        <f>'Minor Minerals'!D581</f>
        <v>4874.1432999999997</v>
      </c>
      <c r="L492" s="240">
        <f>'Minor Minerals'!E581</f>
        <v>12362139.210000001</v>
      </c>
      <c r="M492" s="240">
        <f>'Minor Minerals'!F581</f>
        <v>10591490732.5</v>
      </c>
      <c r="N492" s="240">
        <f>'Minor Minerals'!G581</f>
        <v>3266249252.1999998</v>
      </c>
      <c r="O492" s="240">
        <f>'Minor Minerals'!H581</f>
        <v>39333</v>
      </c>
    </row>
    <row r="493" spans="1:15" ht="17.100000000000001" customHeight="1" x14ac:dyDescent="0.25">
      <c r="A493" s="136"/>
      <c r="B493" s="136"/>
      <c r="C493" s="136"/>
      <c r="D493" s="136"/>
      <c r="E493" s="136"/>
      <c r="F493" s="136"/>
      <c r="G493" s="136"/>
      <c r="H493" s="136"/>
      <c r="J493" s="128">
        <f>J492-C492</f>
        <v>0</v>
      </c>
      <c r="K493" s="128">
        <f t="shared" ref="K493:O493" si="64">K492-D492</f>
        <v>0</v>
      </c>
      <c r="L493" s="128">
        <f t="shared" si="64"/>
        <v>0</v>
      </c>
      <c r="M493" s="128">
        <f t="shared" si="64"/>
        <v>0</v>
      </c>
      <c r="N493" s="128">
        <f>N492-G492</f>
        <v>0</v>
      </c>
      <c r="O493" s="128">
        <f t="shared" si="64"/>
        <v>0</v>
      </c>
    </row>
    <row r="494" spans="1:15" ht="17.100000000000001" customHeight="1" x14ac:dyDescent="0.25">
      <c r="A494" s="1155" t="s">
        <v>72</v>
      </c>
      <c r="B494" s="1155"/>
      <c r="C494" s="1155"/>
      <c r="D494" s="1155"/>
      <c r="E494" s="1155"/>
      <c r="F494" s="1155"/>
      <c r="G494" s="1155"/>
      <c r="H494" s="1155"/>
      <c r="J494" s="245"/>
      <c r="K494" s="245"/>
      <c r="L494" s="245"/>
      <c r="M494" s="245"/>
      <c r="N494" s="245"/>
      <c r="O494" s="245"/>
    </row>
    <row r="495" spans="1:15" ht="17.100000000000001" customHeight="1" x14ac:dyDescent="0.25">
      <c r="A495" s="1122" t="s">
        <v>2</v>
      </c>
      <c r="B495" s="1124" t="s">
        <v>270</v>
      </c>
      <c r="C495" s="249" t="s">
        <v>4</v>
      </c>
      <c r="D495" s="249" t="s">
        <v>5</v>
      </c>
      <c r="E495" s="249" t="s">
        <v>6</v>
      </c>
      <c r="F495" s="249" t="s">
        <v>7</v>
      </c>
      <c r="G495" s="249" t="s">
        <v>8</v>
      </c>
      <c r="H495" s="249" t="s">
        <v>9</v>
      </c>
    </row>
    <row r="496" spans="1:15" ht="17.100000000000001" customHeight="1" x14ac:dyDescent="0.25">
      <c r="A496" s="1123"/>
      <c r="B496" s="1125"/>
      <c r="C496" s="2" t="s">
        <v>10</v>
      </c>
      <c r="D496" s="2" t="s">
        <v>52</v>
      </c>
      <c r="E496" s="2" t="s">
        <v>79</v>
      </c>
      <c r="F496" s="52" t="s">
        <v>80</v>
      </c>
      <c r="G496" s="52" t="s">
        <v>80</v>
      </c>
      <c r="H496" s="2" t="s">
        <v>13</v>
      </c>
    </row>
    <row r="497" spans="1:15" ht="17.100000000000001" customHeight="1" x14ac:dyDescent="0.25">
      <c r="A497" s="133">
        <v>1</v>
      </c>
      <c r="B497" s="188" t="s">
        <v>410</v>
      </c>
      <c r="C497" s="141">
        <f>Distt.Minor!C235</f>
        <v>74</v>
      </c>
      <c r="D497" s="141">
        <f>Distt.Minor!D235</f>
        <v>102.2</v>
      </c>
      <c r="E497" s="141">
        <f>Distt.Minor!E235</f>
        <v>121112.46</v>
      </c>
      <c r="F497" s="141">
        <f>Distt.Minor!F235</f>
        <v>181668690</v>
      </c>
      <c r="G497" s="141">
        <f>Distt.Minor!G235</f>
        <v>50372705</v>
      </c>
      <c r="H497" s="141">
        <f>Distt.Minor!H235</f>
        <v>405</v>
      </c>
    </row>
    <row r="498" spans="1:15" ht="17.100000000000001" customHeight="1" x14ac:dyDescent="0.25">
      <c r="A498" s="133">
        <v>2</v>
      </c>
      <c r="B498" s="188" t="s">
        <v>267</v>
      </c>
      <c r="C498" s="141">
        <f>Distt.Minor!C579</f>
        <v>132</v>
      </c>
      <c r="D498" s="141">
        <f>Distt.Minor!D579</f>
        <v>159.73000000000002</v>
      </c>
      <c r="E498" s="141">
        <f>Distt.Minor!E579</f>
        <v>339359</v>
      </c>
      <c r="F498" s="141">
        <f>Distt.Minor!F579</f>
        <v>492070550</v>
      </c>
      <c r="G498" s="141">
        <f>Distt.Minor!G579</f>
        <v>106343011</v>
      </c>
      <c r="H498" s="141">
        <f>Distt.Minor!H579</f>
        <v>1923</v>
      </c>
    </row>
    <row r="499" spans="1:15" ht="17.100000000000001" customHeight="1" x14ac:dyDescent="0.25">
      <c r="A499" s="1300" t="s">
        <v>50</v>
      </c>
      <c r="B499" s="1301"/>
      <c r="C499" s="35">
        <f t="shared" ref="C499:H499" si="65">SUM(C497:C498)</f>
        <v>206</v>
      </c>
      <c r="D499" s="34">
        <f t="shared" si="65"/>
        <v>261.93</v>
      </c>
      <c r="E499" s="33">
        <f t="shared" si="65"/>
        <v>460471.46</v>
      </c>
      <c r="F499" s="35">
        <f t="shared" si="65"/>
        <v>673739240</v>
      </c>
      <c r="G499" s="33">
        <f t="shared" si="65"/>
        <v>156715716</v>
      </c>
      <c r="H499" s="33">
        <f t="shared" si="65"/>
        <v>2328</v>
      </c>
      <c r="J499" s="240">
        <f>'Minor Minerals'!C589</f>
        <v>206</v>
      </c>
      <c r="K499" s="240">
        <f>'Minor Minerals'!D589</f>
        <v>261.93</v>
      </c>
      <c r="L499" s="240">
        <f>'Minor Minerals'!E589</f>
        <v>460471.46</v>
      </c>
      <c r="M499" s="240">
        <f>'Minor Minerals'!F589</f>
        <v>673739240</v>
      </c>
      <c r="N499" s="240">
        <f>'Minor Minerals'!G589</f>
        <v>156715716</v>
      </c>
      <c r="O499" s="240">
        <f>'Minor Minerals'!H589</f>
        <v>2328</v>
      </c>
    </row>
    <row r="500" spans="1:15" ht="17.100000000000001" customHeight="1" x14ac:dyDescent="0.25">
      <c r="A500" s="136"/>
      <c r="B500" s="136"/>
      <c r="C500" s="136"/>
      <c r="D500" s="136"/>
      <c r="E500" s="136"/>
      <c r="F500" s="136"/>
      <c r="G500" s="136"/>
      <c r="H500" s="136"/>
      <c r="J500" s="128">
        <f>J499-C499</f>
        <v>0</v>
      </c>
      <c r="K500" s="128">
        <f t="shared" ref="K500:O500" si="66">K499-D499</f>
        <v>0</v>
      </c>
      <c r="L500" s="128">
        <f t="shared" si="66"/>
        <v>0</v>
      </c>
      <c r="M500" s="128">
        <f t="shared" si="66"/>
        <v>0</v>
      </c>
      <c r="N500" s="128">
        <f t="shared" si="66"/>
        <v>0</v>
      </c>
      <c r="O500" s="128">
        <f t="shared" si="66"/>
        <v>0</v>
      </c>
    </row>
    <row r="501" spans="1:15" ht="17.100000000000001" customHeight="1" x14ac:dyDescent="0.3">
      <c r="A501" s="1142" t="s">
        <v>44</v>
      </c>
      <c r="B501" s="1142"/>
      <c r="C501" s="1142"/>
      <c r="D501" s="1142"/>
      <c r="E501" s="1142"/>
      <c r="F501" s="1142"/>
      <c r="G501" s="1142"/>
      <c r="H501" s="1142"/>
    </row>
    <row r="502" spans="1:15" ht="17.100000000000001" customHeight="1" x14ac:dyDescent="0.25">
      <c r="A502" s="1122" t="s">
        <v>2</v>
      </c>
      <c r="B502" s="1124" t="s">
        <v>270</v>
      </c>
      <c r="C502" s="249" t="s">
        <v>4</v>
      </c>
      <c r="D502" s="249" t="s">
        <v>5</v>
      </c>
      <c r="E502" s="249" t="s">
        <v>6</v>
      </c>
      <c r="F502" s="249" t="s">
        <v>7</v>
      </c>
      <c r="G502" s="249" t="s">
        <v>8</v>
      </c>
      <c r="H502" s="249" t="s">
        <v>9</v>
      </c>
    </row>
    <row r="503" spans="1:15" ht="17.100000000000001" customHeight="1" x14ac:dyDescent="0.25">
      <c r="A503" s="1123"/>
      <c r="B503" s="1125"/>
      <c r="C503" s="2" t="s">
        <v>10</v>
      </c>
      <c r="D503" s="2" t="s">
        <v>78</v>
      </c>
      <c r="E503" s="2" t="s">
        <v>79</v>
      </c>
      <c r="F503" s="52" t="s">
        <v>80</v>
      </c>
      <c r="G503" s="52" t="s">
        <v>80</v>
      </c>
      <c r="H503" s="2" t="s">
        <v>13</v>
      </c>
    </row>
    <row r="504" spans="1:15" ht="17.100000000000001" customHeight="1" x14ac:dyDescent="0.25">
      <c r="A504" s="133">
        <v>1</v>
      </c>
      <c r="B504" s="192" t="s">
        <v>271</v>
      </c>
      <c r="C504" s="166">
        <f>Distt.Minor!C37</f>
        <v>2</v>
      </c>
      <c r="D504" s="166">
        <f>Distt.Minor!D37</f>
        <v>24.05</v>
      </c>
      <c r="E504" s="166">
        <f>Distt.Minor!E37</f>
        <v>9618</v>
      </c>
      <c r="F504" s="166">
        <f>Distt.Minor!F37</f>
        <v>5193720</v>
      </c>
      <c r="G504" s="166">
        <f>Distt.Minor!G37</f>
        <v>903244</v>
      </c>
      <c r="H504" s="166">
        <f>Distt.Minor!H37</f>
        <v>25</v>
      </c>
    </row>
    <row r="505" spans="1:15" ht="17.100000000000001" customHeight="1" x14ac:dyDescent="0.25">
      <c r="A505" s="133">
        <v>2</v>
      </c>
      <c r="B505" s="192" t="s">
        <v>243</v>
      </c>
      <c r="C505" s="133">
        <f>Distt.Minor!C72</f>
        <v>9</v>
      </c>
      <c r="D505" s="133">
        <f>Distt.Minor!D72</f>
        <v>40.5</v>
      </c>
      <c r="E505" s="133">
        <f>Distt.Minor!E72</f>
        <v>383538</v>
      </c>
      <c r="F505" s="133">
        <f>Distt.Minor!F72</f>
        <v>191769410</v>
      </c>
      <c r="G505" s="133">
        <f>Distt.Minor!G72</f>
        <v>3394671</v>
      </c>
      <c r="H505" s="133">
        <f>Distt.Minor!H72</f>
        <v>35</v>
      </c>
    </row>
    <row r="506" spans="1:15" ht="17.100000000000001" customHeight="1" x14ac:dyDescent="0.25">
      <c r="A506" s="133">
        <v>3</v>
      </c>
      <c r="B506" s="192" t="s">
        <v>244</v>
      </c>
      <c r="C506" s="198">
        <f>Distt.Minor!C99</f>
        <v>14</v>
      </c>
      <c r="D506" s="198">
        <f>Distt.Minor!D99</f>
        <v>381.75399999999996</v>
      </c>
      <c r="E506" s="198">
        <f>Distt.Minor!E99</f>
        <v>477903.65</v>
      </c>
      <c r="F506" s="198">
        <f>Distt.Minor!F99</f>
        <v>258067971</v>
      </c>
      <c r="G506" s="198">
        <f>Distt.Minor!G99</f>
        <v>42076007</v>
      </c>
      <c r="H506" s="198">
        <f>Distt.Minor!H99</f>
        <v>260</v>
      </c>
    </row>
    <row r="507" spans="1:15" ht="17.100000000000001" customHeight="1" x14ac:dyDescent="0.25">
      <c r="A507" s="133">
        <v>4</v>
      </c>
      <c r="B507" s="192" t="s">
        <v>245</v>
      </c>
      <c r="C507" s="133">
        <f>Distt.Minor!C126</f>
        <v>1</v>
      </c>
      <c r="D507" s="133">
        <f>Distt.Minor!D126</f>
        <v>5</v>
      </c>
      <c r="E507" s="133">
        <f>Distt.Minor!E126</f>
        <v>12718</v>
      </c>
      <c r="F507" s="133">
        <f>Distt.Minor!F126</f>
        <v>6867720</v>
      </c>
      <c r="G507" s="133">
        <f>Distt.Minor!G126</f>
        <v>2255561</v>
      </c>
      <c r="H507" s="133">
        <f>Distt.Minor!H126</f>
        <v>7</v>
      </c>
    </row>
    <row r="508" spans="1:15" ht="17.100000000000001" customHeight="1" x14ac:dyDescent="0.25">
      <c r="A508" s="133">
        <v>5</v>
      </c>
      <c r="B508" s="192" t="s">
        <v>283</v>
      </c>
      <c r="C508" s="190">
        <f>Distt.Minor!C156</f>
        <v>1</v>
      </c>
      <c r="D508" s="190">
        <f>Distt.Minor!D156</f>
        <v>59.5</v>
      </c>
      <c r="E508" s="190">
        <f>Distt.Minor!E156</f>
        <v>0</v>
      </c>
      <c r="F508" s="190">
        <f>Distt.Minor!F156</f>
        <v>0</v>
      </c>
      <c r="G508" s="190" t="str">
        <f>Distt.Minor!G156</f>
        <v xml:space="preserve"> </v>
      </c>
      <c r="H508" s="190">
        <f>Distt.Minor!H156</f>
        <v>0</v>
      </c>
    </row>
    <row r="509" spans="1:15" ht="17.100000000000001" customHeight="1" x14ac:dyDescent="0.25">
      <c r="A509" s="133">
        <v>6</v>
      </c>
      <c r="B509" s="214" t="s">
        <v>248</v>
      </c>
      <c r="C509" s="137">
        <f>Distt.Minor!C180</f>
        <v>5</v>
      </c>
      <c r="D509" s="137">
        <f>Distt.Minor!D180</f>
        <v>100</v>
      </c>
      <c r="E509" s="137">
        <f>Distt.Minor!E180</f>
        <v>254</v>
      </c>
      <c r="F509" s="137">
        <f>Distt.Minor!F180</f>
        <v>127000</v>
      </c>
      <c r="G509" s="137">
        <f>Distt.Minor!G180</f>
        <v>62577192</v>
      </c>
      <c r="H509" s="137">
        <f>Distt.Minor!H180</f>
        <v>107</v>
      </c>
    </row>
    <row r="510" spans="1:15" ht="17.100000000000001" customHeight="1" x14ac:dyDescent="0.25">
      <c r="A510" s="133">
        <v>7</v>
      </c>
      <c r="B510" s="192" t="s">
        <v>249</v>
      </c>
      <c r="C510" s="133">
        <f>Distt.Minor!C214</f>
        <v>6</v>
      </c>
      <c r="D510" s="133">
        <f>Distt.Minor!D214</f>
        <v>115.15</v>
      </c>
      <c r="E510" s="133">
        <f>Distt.Minor!E214</f>
        <v>527111</v>
      </c>
      <c r="F510" s="133">
        <f>Distt.Minor!F214</f>
        <v>289911050</v>
      </c>
      <c r="G510" s="133">
        <f>Distt.Minor!G214</f>
        <v>48531485</v>
      </c>
      <c r="H510" s="133">
        <f>Distt.Minor!H214</f>
        <v>150</v>
      </c>
    </row>
    <row r="511" spans="1:15" ht="17.100000000000001" customHeight="1" x14ac:dyDescent="0.25">
      <c r="A511" s="133">
        <v>8</v>
      </c>
      <c r="B511" s="192" t="s">
        <v>252</v>
      </c>
      <c r="C511" s="133">
        <f>Distt.Minor!C290</f>
        <v>5</v>
      </c>
      <c r="D511" s="133">
        <f>Distt.Minor!D290</f>
        <v>197.39</v>
      </c>
      <c r="E511" s="133">
        <f>Distt.Minor!E290</f>
        <v>11612.630000000001</v>
      </c>
      <c r="F511" s="133">
        <f>Distt.Minor!F290</f>
        <v>5525362</v>
      </c>
      <c r="G511" s="133">
        <f>Distt.Minor!G290</f>
        <v>4772205.45</v>
      </c>
      <c r="H511" s="133">
        <f>Distt.Minor!H290</f>
        <v>95</v>
      </c>
    </row>
    <row r="512" spans="1:15" ht="17.100000000000001" customHeight="1" x14ac:dyDescent="0.25">
      <c r="A512" s="133">
        <v>9</v>
      </c>
      <c r="B512" s="192" t="s">
        <v>254</v>
      </c>
      <c r="C512" s="133">
        <f>Distt.Minor!C267</f>
        <v>56</v>
      </c>
      <c r="D512" s="133">
        <f>Distt.Minor!D267</f>
        <v>284.76</v>
      </c>
      <c r="E512" s="133">
        <f>Distt.Minor!E267</f>
        <v>197250.61</v>
      </c>
      <c r="F512" s="133">
        <f>Distt.Minor!F267</f>
        <v>106515329.39999999</v>
      </c>
      <c r="G512" s="133">
        <f>Distt.Minor!G267</f>
        <v>20588195</v>
      </c>
      <c r="H512" s="133">
        <f>Distt.Minor!H267</f>
        <v>28</v>
      </c>
    </row>
    <row r="513" spans="1:15" ht="17.100000000000001" customHeight="1" x14ac:dyDescent="0.25">
      <c r="A513" s="133">
        <v>10</v>
      </c>
      <c r="B513" s="192" t="s">
        <v>273</v>
      </c>
      <c r="C513" s="133">
        <f>Distt.Minor!C380</f>
        <v>38</v>
      </c>
      <c r="D513" s="133">
        <f>Distt.Minor!D380</f>
        <v>635.41</v>
      </c>
      <c r="E513" s="133">
        <f>Distt.Minor!E380</f>
        <v>315509</v>
      </c>
      <c r="F513" s="133">
        <f>Distt.Minor!F380</f>
        <v>189305400</v>
      </c>
      <c r="G513" s="133">
        <f>Distt.Minor!G380</f>
        <v>329297191</v>
      </c>
      <c r="H513" s="133">
        <f>Distt.Minor!H380</f>
        <v>140</v>
      </c>
    </row>
    <row r="514" spans="1:15" ht="17.100000000000001" customHeight="1" x14ac:dyDescent="0.25">
      <c r="A514" s="133">
        <v>11</v>
      </c>
      <c r="B514" s="192" t="s">
        <v>275</v>
      </c>
      <c r="C514" s="196">
        <f>Distt.Minor!C477</f>
        <v>1</v>
      </c>
      <c r="D514" s="196">
        <f>Distt.Minor!D477</f>
        <v>4.2</v>
      </c>
      <c r="E514" s="196">
        <f>Distt.Minor!E477</f>
        <v>484340.90909090912</v>
      </c>
      <c r="F514" s="196">
        <f>Distt.Minor!F477</f>
        <v>251857272.72727275</v>
      </c>
      <c r="G514" s="196">
        <f>Distt.Minor!G477</f>
        <v>42622000</v>
      </c>
      <c r="H514" s="196">
        <f>Distt.Minor!H477</f>
        <v>109</v>
      </c>
    </row>
    <row r="515" spans="1:15" ht="17.100000000000001" customHeight="1" x14ac:dyDescent="0.25">
      <c r="A515" s="133">
        <v>12</v>
      </c>
      <c r="B515" s="192" t="s">
        <v>278</v>
      </c>
      <c r="C515" s="142">
        <f>Distt.Minor!C561</f>
        <v>9</v>
      </c>
      <c r="D515" s="142">
        <f>Distt.Minor!D561</f>
        <v>77.31</v>
      </c>
      <c r="E515" s="142">
        <f>Distt.Minor!E561</f>
        <v>31880</v>
      </c>
      <c r="F515" s="142">
        <f>Distt.Minor!F561</f>
        <v>17215200</v>
      </c>
      <c r="G515" s="142">
        <f>Distt.Minor!G561</f>
        <v>3506800</v>
      </c>
      <c r="H515" s="142">
        <f>Distt.Minor!H561</f>
        <v>30</v>
      </c>
    </row>
    <row r="516" spans="1:15" ht="17.100000000000001" customHeight="1" x14ac:dyDescent="0.25">
      <c r="A516" s="133">
        <v>13</v>
      </c>
      <c r="B516" s="199" t="s">
        <v>264</v>
      </c>
      <c r="C516" s="141">
        <f>Distt.Minor!C528</f>
        <v>13</v>
      </c>
      <c r="D516" s="141">
        <f>Distt.Minor!D528</f>
        <v>113.84</v>
      </c>
      <c r="E516" s="141">
        <f>Distt.Minor!E528</f>
        <v>723524</v>
      </c>
      <c r="F516" s="141">
        <f>Distt.Minor!F528</f>
        <v>390703294.00000006</v>
      </c>
      <c r="G516" s="141">
        <f>Distt.Minor!G528</f>
        <v>7330928</v>
      </c>
      <c r="H516" s="141">
        <f>Distt.Minor!H528</f>
        <v>115</v>
      </c>
    </row>
    <row r="517" spans="1:15" ht="17.100000000000001" customHeight="1" x14ac:dyDescent="0.25">
      <c r="A517" s="133">
        <v>14</v>
      </c>
      <c r="B517" s="199" t="s">
        <v>267</v>
      </c>
      <c r="C517" s="133">
        <f>Distt.Minor!C588</f>
        <v>0</v>
      </c>
      <c r="D517" s="133">
        <f>Distt.Minor!D588</f>
        <v>0</v>
      </c>
      <c r="E517" s="133">
        <f>Distt.Minor!E588</f>
        <v>0</v>
      </c>
      <c r="F517" s="133">
        <f>Distt.Minor!F588</f>
        <v>0</v>
      </c>
      <c r="G517" s="133">
        <f>Distt.Minor!G588</f>
        <v>0</v>
      </c>
      <c r="H517" s="133">
        <f>Distt.Minor!H588</f>
        <v>0</v>
      </c>
    </row>
    <row r="518" spans="1:15" ht="17.100000000000001" customHeight="1" x14ac:dyDescent="0.25">
      <c r="A518" s="629">
        <v>15</v>
      </c>
      <c r="B518" s="199" t="s">
        <v>259</v>
      </c>
      <c r="C518" s="133">
        <f>Distt.Minor!C417</f>
        <v>9</v>
      </c>
      <c r="D518" s="133">
        <f>Distt.Minor!D417</f>
        <v>13.24</v>
      </c>
      <c r="E518" s="133">
        <f>Distt.Minor!E417</f>
        <v>97967</v>
      </c>
      <c r="F518" s="133">
        <f>Distt.Minor!F417</f>
        <v>52902347</v>
      </c>
      <c r="G518" s="133">
        <f>Distt.Minor!G417</f>
        <v>10044778</v>
      </c>
      <c r="H518" s="133">
        <f>Distt.Minor!H417</f>
        <v>90</v>
      </c>
    </row>
    <row r="519" spans="1:15" ht="17.100000000000001" customHeight="1" x14ac:dyDescent="0.25">
      <c r="A519" s="629">
        <v>16</v>
      </c>
      <c r="B519" s="199" t="s">
        <v>282</v>
      </c>
      <c r="C519" s="133">
        <f>Distt.Minor!C86</f>
        <v>2</v>
      </c>
      <c r="D519" s="133">
        <f>Distt.Minor!D86</f>
        <v>2</v>
      </c>
      <c r="E519" s="133">
        <f>Distt.Minor!E86</f>
        <v>0</v>
      </c>
      <c r="F519" s="133">
        <f>Distt.Minor!F86</f>
        <v>0</v>
      </c>
      <c r="G519" s="133">
        <f>Distt.Minor!G86</f>
        <v>0</v>
      </c>
      <c r="H519" s="133">
        <f>Distt.Minor!H86</f>
        <v>0</v>
      </c>
    </row>
    <row r="520" spans="1:15" ht="17.100000000000001" customHeight="1" x14ac:dyDescent="0.25">
      <c r="A520" s="1300" t="s">
        <v>50</v>
      </c>
      <c r="B520" s="1301"/>
      <c r="C520" s="4">
        <f>SUM(C504:C518)</f>
        <v>169</v>
      </c>
      <c r="D520" s="4">
        <f t="shared" ref="D520:H520" si="67">SUM(D504:D518)</f>
        <v>2052.1039999999994</v>
      </c>
      <c r="E520" s="4">
        <f t="shared" si="67"/>
        <v>3273226.7990909088</v>
      </c>
      <c r="F520" s="4">
        <f t="shared" si="67"/>
        <v>1765961076.1272726</v>
      </c>
      <c r="G520" s="4">
        <f t="shared" si="67"/>
        <v>577900257.45000005</v>
      </c>
      <c r="H520" s="4">
        <f t="shared" si="67"/>
        <v>1191</v>
      </c>
      <c r="J520" s="650">
        <f>'Minor Minerals'!C613</f>
        <v>169</v>
      </c>
      <c r="K520" s="650">
        <f>'Minor Minerals'!D613</f>
        <v>2052.1039999999998</v>
      </c>
      <c r="L520" s="650">
        <f>'Minor Minerals'!E613</f>
        <v>3273226.7990909093</v>
      </c>
      <c r="M520" s="650">
        <f>'Minor Minerals'!F613</f>
        <v>1765961076.1272728</v>
      </c>
      <c r="N520" s="650">
        <f>'Minor Minerals'!G613</f>
        <v>577900257.45000005</v>
      </c>
      <c r="O520" s="650">
        <f>'Minor Minerals'!H613</f>
        <v>1191</v>
      </c>
    </row>
    <row r="521" spans="1:15" ht="17.100000000000001" customHeight="1" x14ac:dyDescent="0.25">
      <c r="A521" s="136"/>
      <c r="B521" s="136"/>
      <c r="C521" s="136"/>
      <c r="D521" s="136"/>
      <c r="E521" s="136"/>
      <c r="F521" s="136"/>
      <c r="G521" s="136"/>
      <c r="H521" s="136"/>
      <c r="J521" s="123">
        <f>J520-C520</f>
        <v>0</v>
      </c>
      <c r="K521" s="123">
        <f t="shared" ref="K521:O521" si="68">K520-D520</f>
        <v>0</v>
      </c>
      <c r="L521" s="123">
        <f t="shared" si="68"/>
        <v>0</v>
      </c>
      <c r="M521" s="123">
        <f t="shared" si="68"/>
        <v>0</v>
      </c>
      <c r="N521" s="123">
        <f t="shared" si="68"/>
        <v>0</v>
      </c>
      <c r="O521" s="123">
        <f t="shared" si="68"/>
        <v>0</v>
      </c>
    </row>
    <row r="522" spans="1:15" ht="17.100000000000001" customHeight="1" x14ac:dyDescent="0.25">
      <c r="A522" s="1155" t="s">
        <v>73</v>
      </c>
      <c r="B522" s="1155"/>
      <c r="C522" s="1155"/>
      <c r="D522" s="1155"/>
      <c r="E522" s="1155"/>
      <c r="F522" s="1155"/>
      <c r="G522" s="1155"/>
      <c r="H522" s="1155"/>
    </row>
    <row r="523" spans="1:15" ht="17.100000000000001" customHeight="1" x14ac:dyDescent="0.25">
      <c r="A523" s="1122" t="s">
        <v>2</v>
      </c>
      <c r="B523" s="1124" t="s">
        <v>270</v>
      </c>
      <c r="C523" s="249" t="s">
        <v>4</v>
      </c>
      <c r="D523" s="249" t="s">
        <v>5</v>
      </c>
      <c r="E523" s="249" t="s">
        <v>6</v>
      </c>
      <c r="F523" s="249" t="s">
        <v>7</v>
      </c>
      <c r="G523" s="249" t="s">
        <v>8</v>
      </c>
      <c r="H523" s="249" t="s">
        <v>9</v>
      </c>
    </row>
    <row r="524" spans="1:15" ht="17.100000000000001" customHeight="1" x14ac:dyDescent="0.25">
      <c r="A524" s="1123"/>
      <c r="B524" s="1125"/>
      <c r="C524" s="2" t="s">
        <v>10</v>
      </c>
      <c r="D524" s="2" t="s">
        <v>52</v>
      </c>
      <c r="E524" s="2" t="s">
        <v>79</v>
      </c>
      <c r="F524" s="52" t="s">
        <v>80</v>
      </c>
      <c r="G524" s="52" t="s">
        <v>80</v>
      </c>
      <c r="H524" s="2" t="s">
        <v>13</v>
      </c>
    </row>
    <row r="525" spans="1:15" ht="17.100000000000001" customHeight="1" x14ac:dyDescent="0.25">
      <c r="A525" s="133">
        <v>1</v>
      </c>
      <c r="B525" s="188" t="s">
        <v>417</v>
      </c>
      <c r="C525" s="190">
        <f>Distt.Minor!C153</f>
        <v>0</v>
      </c>
      <c r="D525" s="190">
        <f>Distt.Minor!D153</f>
        <v>0</v>
      </c>
      <c r="E525" s="190">
        <v>0</v>
      </c>
      <c r="F525" s="190">
        <v>0</v>
      </c>
      <c r="G525" s="190">
        <v>0</v>
      </c>
      <c r="H525" s="190">
        <v>0</v>
      </c>
    </row>
    <row r="526" spans="1:15" ht="17.100000000000001" customHeight="1" x14ac:dyDescent="0.25">
      <c r="A526" s="133">
        <v>2</v>
      </c>
      <c r="B526" s="188" t="s">
        <v>476</v>
      </c>
      <c r="C526" s="190">
        <f>Distt.Minor!C478</f>
        <v>2</v>
      </c>
      <c r="D526" s="190">
        <f>Distt.Minor!D478</f>
        <v>4.51</v>
      </c>
      <c r="E526" s="190">
        <f>Distt.Minor!E478</f>
        <v>7768</v>
      </c>
      <c r="F526" s="190">
        <f>Distt.Minor!F478</f>
        <v>15536000</v>
      </c>
      <c r="G526" s="190">
        <f>Distt.Minor!G478</f>
        <v>2101049</v>
      </c>
      <c r="H526" s="190">
        <f>Distt.Minor!H478</f>
        <v>45</v>
      </c>
    </row>
    <row r="527" spans="1:15" s="672" customFormat="1" ht="17.100000000000001" customHeight="1" x14ac:dyDescent="0.25">
      <c r="A527" s="1061">
        <v>3</v>
      </c>
      <c r="B527" s="188" t="s">
        <v>252</v>
      </c>
      <c r="C527" s="1061">
        <f>Distt.Minor!C301</f>
        <v>9</v>
      </c>
      <c r="D527" s="1061">
        <f>Distt.Minor!D301</f>
        <v>26.99</v>
      </c>
      <c r="E527" s="1061">
        <f>Distt.Minor!E301</f>
        <v>656</v>
      </c>
      <c r="F527" s="1061">
        <f>Distt.Minor!F301</f>
        <v>1313060</v>
      </c>
      <c r="G527" s="1061">
        <f>Distt.Minor!G301</f>
        <v>443218</v>
      </c>
      <c r="H527" s="1061">
        <f>Distt.Minor!H301</f>
        <v>10</v>
      </c>
    </row>
    <row r="528" spans="1:15" ht="17.100000000000001" customHeight="1" x14ac:dyDescent="0.25">
      <c r="A528" s="133">
        <v>4</v>
      </c>
      <c r="B528" s="188" t="s">
        <v>278</v>
      </c>
      <c r="C528" s="117">
        <f>Distt.Minor!C557</f>
        <v>2</v>
      </c>
      <c r="D528" s="117">
        <f>Distt.Minor!D557</f>
        <v>1.65</v>
      </c>
      <c r="E528" s="117">
        <f>Distt.Minor!E557</f>
        <v>0</v>
      </c>
      <c r="F528" s="117">
        <f>Distt.Minor!F557</f>
        <v>0</v>
      </c>
      <c r="G528" s="117">
        <f>Distt.Minor!G557</f>
        <v>0</v>
      </c>
      <c r="H528" s="117">
        <f>Distt.Minor!H557</f>
        <v>0</v>
      </c>
    </row>
    <row r="529" spans="1:15" ht="17.100000000000001" customHeight="1" x14ac:dyDescent="0.25">
      <c r="A529" s="1300" t="s">
        <v>50</v>
      </c>
      <c r="B529" s="1301"/>
      <c r="C529" s="4">
        <f t="shared" ref="C529:H529" si="69">SUM(C525:C528)</f>
        <v>13</v>
      </c>
      <c r="D529" s="6">
        <f t="shared" si="69"/>
        <v>33.15</v>
      </c>
      <c r="E529" s="7">
        <f t="shared" si="69"/>
        <v>8424</v>
      </c>
      <c r="F529" s="4">
        <f t="shared" si="69"/>
        <v>16849060</v>
      </c>
      <c r="G529" s="7">
        <f t="shared" si="69"/>
        <v>2544267</v>
      </c>
      <c r="H529" s="7">
        <f t="shared" si="69"/>
        <v>55</v>
      </c>
      <c r="J529" s="238">
        <f>'Minor Minerals'!C622</f>
        <v>13</v>
      </c>
      <c r="K529" s="238">
        <f>'Minor Minerals'!D622</f>
        <v>33.15</v>
      </c>
      <c r="L529" s="238">
        <f>'Minor Minerals'!E622</f>
        <v>8424</v>
      </c>
      <c r="M529" s="238">
        <f>'Minor Minerals'!F622</f>
        <v>16849060</v>
      </c>
      <c r="N529" s="238">
        <f>'Minor Minerals'!G622</f>
        <v>2544267</v>
      </c>
      <c r="O529" s="238">
        <f>'Minor Minerals'!H622</f>
        <v>55</v>
      </c>
    </row>
    <row r="530" spans="1:15" ht="17.100000000000001" customHeight="1" x14ac:dyDescent="0.25">
      <c r="A530" s="136"/>
      <c r="B530" s="136"/>
      <c r="C530" s="136"/>
      <c r="D530" s="136"/>
      <c r="E530" s="136"/>
      <c r="F530" s="136"/>
      <c r="G530" s="136"/>
      <c r="H530" s="136"/>
      <c r="J530" s="128">
        <f>J529-C529</f>
        <v>0</v>
      </c>
      <c r="K530" s="128">
        <f t="shared" ref="K530:O530" si="70">K529-D529</f>
        <v>0</v>
      </c>
      <c r="L530" s="128">
        <f t="shared" si="70"/>
        <v>0</v>
      </c>
      <c r="M530" s="128">
        <f t="shared" si="70"/>
        <v>0</v>
      </c>
      <c r="N530" s="128">
        <f t="shared" si="70"/>
        <v>0</v>
      </c>
      <c r="O530" s="128">
        <f t="shared" si="70"/>
        <v>0</v>
      </c>
    </row>
    <row r="531" spans="1:15" ht="17.100000000000001" customHeight="1" x14ac:dyDescent="0.3">
      <c r="A531" s="1142" t="s">
        <v>46</v>
      </c>
      <c r="B531" s="1142"/>
      <c r="C531" s="1142"/>
      <c r="D531" s="1142"/>
      <c r="E531" s="1142"/>
      <c r="F531" s="1142"/>
      <c r="G531" s="1142"/>
      <c r="H531" s="1142"/>
    </row>
    <row r="532" spans="1:15" ht="17.100000000000001" customHeight="1" x14ac:dyDescent="0.25">
      <c r="A532" s="1122" t="s">
        <v>2</v>
      </c>
      <c r="B532" s="1124" t="s">
        <v>270</v>
      </c>
      <c r="C532" s="249" t="s">
        <v>4</v>
      </c>
      <c r="D532" s="249" t="s">
        <v>5</v>
      </c>
      <c r="E532" s="249" t="s">
        <v>6</v>
      </c>
      <c r="F532" s="249" t="s">
        <v>7</v>
      </c>
      <c r="G532" s="249" t="s">
        <v>8</v>
      </c>
      <c r="H532" s="249" t="s">
        <v>9</v>
      </c>
    </row>
    <row r="533" spans="1:15" ht="17.100000000000001" customHeight="1" x14ac:dyDescent="0.25">
      <c r="A533" s="1123"/>
      <c r="B533" s="1125"/>
      <c r="C533" s="2" t="s">
        <v>10</v>
      </c>
      <c r="D533" s="2" t="s">
        <v>78</v>
      </c>
      <c r="E533" s="2" t="s">
        <v>79</v>
      </c>
      <c r="F533" s="52" t="s">
        <v>80</v>
      </c>
      <c r="G533" s="52" t="s">
        <v>80</v>
      </c>
      <c r="H533" s="2" t="s">
        <v>13</v>
      </c>
    </row>
    <row r="534" spans="1:15" ht="17.100000000000001" customHeight="1" x14ac:dyDescent="0.25">
      <c r="A534" s="133">
        <v>1</v>
      </c>
      <c r="B534" s="192" t="s">
        <v>271</v>
      </c>
      <c r="C534" s="166">
        <f>Distt.Minor!C39</f>
        <v>0</v>
      </c>
      <c r="D534" s="166">
        <f>Distt.Minor!D39</f>
        <v>0</v>
      </c>
      <c r="E534" s="166">
        <f>Distt.Minor!E39</f>
        <v>0</v>
      </c>
      <c r="F534" s="166">
        <f>Distt.Minor!F39</f>
        <v>0</v>
      </c>
      <c r="G534" s="166">
        <f>Distt.Minor!G39</f>
        <v>0</v>
      </c>
      <c r="H534" s="166">
        <f>Distt.Minor!H39</f>
        <v>0</v>
      </c>
    </row>
    <row r="535" spans="1:15" ht="17.100000000000001" customHeight="1" x14ac:dyDescent="0.25">
      <c r="A535" s="133">
        <v>2</v>
      </c>
      <c r="B535" s="192" t="s">
        <v>240</v>
      </c>
      <c r="C535" s="166">
        <f>Distt.Minor!C13</f>
        <v>2</v>
      </c>
      <c r="D535" s="166">
        <f>Distt.Minor!D13</f>
        <v>9.66</v>
      </c>
      <c r="E535" s="166">
        <f>Distt.Minor!E13</f>
        <v>325.20999999999998</v>
      </c>
      <c r="F535" s="166">
        <f>Distt.Minor!F13</f>
        <v>461798</v>
      </c>
      <c r="G535" s="166">
        <f>Distt.Minor!G13</f>
        <v>51498451</v>
      </c>
      <c r="H535" s="166">
        <f>Distt.Minor!H13</f>
        <v>15</v>
      </c>
    </row>
    <row r="536" spans="1:15" ht="17.100000000000001" customHeight="1" x14ac:dyDescent="0.25">
      <c r="A536" s="133">
        <v>3</v>
      </c>
      <c r="B536" s="192" t="s">
        <v>242</v>
      </c>
      <c r="C536" s="133">
        <f>Distt.Minor!C53</f>
        <v>1</v>
      </c>
      <c r="D536" s="133">
        <f>Distt.Minor!D53</f>
        <v>63.39</v>
      </c>
      <c r="E536" s="133">
        <f>Distt.Minor!E53</f>
        <v>2786</v>
      </c>
      <c r="F536" s="133">
        <f>Distt.Minor!F53</f>
        <v>3901254</v>
      </c>
      <c r="G536" s="133">
        <f>Distt.Minor!G53</f>
        <v>518716</v>
      </c>
      <c r="H536" s="133">
        <f>Distt.Minor!H53</f>
        <v>20</v>
      </c>
    </row>
    <row r="537" spans="1:15" ht="17.100000000000001" customHeight="1" x14ac:dyDescent="0.25">
      <c r="A537" s="133">
        <v>4</v>
      </c>
      <c r="B537" s="192" t="s">
        <v>245</v>
      </c>
      <c r="C537" s="133">
        <f>Distt.Minor!C120</f>
        <v>40</v>
      </c>
      <c r="D537" s="133">
        <f>Distt.Minor!D120</f>
        <v>2748.88</v>
      </c>
      <c r="E537" s="133">
        <f>Distt.Minor!E120</f>
        <v>657934</v>
      </c>
      <c r="F537" s="133">
        <f>Distt.Minor!F120</f>
        <v>882966750</v>
      </c>
      <c r="G537" s="133">
        <f>Distt.Minor!G120</f>
        <v>45213485</v>
      </c>
      <c r="H537" s="133">
        <f>Distt.Minor!H120</f>
        <v>730</v>
      </c>
    </row>
    <row r="538" spans="1:15" ht="17.100000000000001" customHeight="1" x14ac:dyDescent="0.25">
      <c r="A538" s="133">
        <v>5</v>
      </c>
      <c r="B538" s="192" t="s">
        <v>250</v>
      </c>
      <c r="C538" s="133">
        <f>Distt.Minor!C242</f>
        <v>23</v>
      </c>
      <c r="D538" s="133">
        <f>Distt.Minor!D242</f>
        <v>388.75</v>
      </c>
      <c r="E538" s="133">
        <f>Distt.Minor!E242</f>
        <v>198944</v>
      </c>
      <c r="F538" s="133">
        <f>Distt.Minor!F242</f>
        <v>288469858</v>
      </c>
      <c r="G538" s="133">
        <f>Distt.Minor!G242</f>
        <v>25768071</v>
      </c>
      <c r="H538" s="133">
        <f>Distt.Minor!H242</f>
        <v>490</v>
      </c>
    </row>
    <row r="539" spans="1:15" ht="17.100000000000001" customHeight="1" x14ac:dyDescent="0.25">
      <c r="A539" s="133">
        <v>6</v>
      </c>
      <c r="B539" s="192" t="s">
        <v>249</v>
      </c>
      <c r="C539" s="133">
        <f>Distt.Minor!C213</f>
        <v>4</v>
      </c>
      <c r="D539" s="133">
        <f>Distt.Minor!D213</f>
        <v>72.05</v>
      </c>
      <c r="E539" s="133">
        <f>Distt.Minor!E213</f>
        <v>0</v>
      </c>
      <c r="F539" s="133">
        <f>Distt.Minor!F213</f>
        <v>0</v>
      </c>
      <c r="G539" s="133">
        <f>Distt.Minor!G213</f>
        <v>0</v>
      </c>
      <c r="H539" s="133">
        <f>Distt.Minor!H213</f>
        <v>0</v>
      </c>
    </row>
    <row r="540" spans="1:15" ht="17.100000000000001" customHeight="1" x14ac:dyDescent="0.25">
      <c r="A540" s="133">
        <v>7</v>
      </c>
      <c r="B540" s="192" t="s">
        <v>252</v>
      </c>
      <c r="C540" s="196">
        <f>Distt.Minor!C297</f>
        <v>4</v>
      </c>
      <c r="D540" s="196">
        <f>Distt.Minor!D297</f>
        <v>72.55</v>
      </c>
      <c r="E540" s="196">
        <f>Distt.Minor!E297</f>
        <v>1044</v>
      </c>
      <c r="F540" s="196">
        <f>Distt.Minor!F297</f>
        <v>835200</v>
      </c>
      <c r="G540" s="196">
        <f>Distt.Minor!G297</f>
        <v>1701239</v>
      </c>
      <c r="H540" s="196">
        <f>Distt.Minor!H297</f>
        <v>15</v>
      </c>
    </row>
    <row r="541" spans="1:15" ht="17.100000000000001" customHeight="1" x14ac:dyDescent="0.25">
      <c r="A541" s="133">
        <v>8</v>
      </c>
      <c r="B541" s="19" t="s">
        <v>256</v>
      </c>
      <c r="C541" s="193">
        <f>Distt.Minor!C348</f>
        <v>3</v>
      </c>
      <c r="D541" s="193">
        <f>Distt.Minor!D348</f>
        <v>132.81</v>
      </c>
      <c r="E541" s="193">
        <f>Distt.Minor!E348</f>
        <v>0</v>
      </c>
      <c r="F541" s="193">
        <f>Distt.Minor!F348</f>
        <v>0</v>
      </c>
      <c r="G541" s="193">
        <f>Distt.Minor!G348</f>
        <v>0</v>
      </c>
      <c r="H541" s="193">
        <v>0</v>
      </c>
    </row>
    <row r="542" spans="1:15" ht="17.100000000000001" customHeight="1" x14ac:dyDescent="0.25">
      <c r="A542" s="133">
        <v>9</v>
      </c>
      <c r="B542" s="192" t="s">
        <v>273</v>
      </c>
      <c r="C542" s="133">
        <f>Distt.Minor!C384</f>
        <v>7</v>
      </c>
      <c r="D542" s="133">
        <f>Distt.Minor!D384</f>
        <v>268.73</v>
      </c>
      <c r="E542" s="133">
        <f>Distt.Minor!E384</f>
        <v>19200</v>
      </c>
      <c r="F542" s="133">
        <f>Distt.Minor!F384</f>
        <v>26846400</v>
      </c>
      <c r="G542" s="133">
        <f>Distt.Minor!G384</f>
        <v>1913703</v>
      </c>
      <c r="H542" s="133">
        <f>Distt.Minor!H384</f>
        <v>20</v>
      </c>
    </row>
    <row r="543" spans="1:15" ht="17.100000000000001" customHeight="1" x14ac:dyDescent="0.25">
      <c r="A543" s="133">
        <v>10</v>
      </c>
      <c r="B543" s="192" t="s">
        <v>261</v>
      </c>
      <c r="C543" s="141">
        <f>Distt.Minor!C452</f>
        <v>24</v>
      </c>
      <c r="D543" s="141">
        <f>Distt.Minor!D452</f>
        <v>1093.83</v>
      </c>
      <c r="E543" s="141">
        <f>Distt.Minor!E452</f>
        <v>110329</v>
      </c>
      <c r="F543" s="141">
        <f>Distt.Minor!F452</f>
        <v>148392505</v>
      </c>
      <c r="G543" s="141">
        <f>Distt.Minor!G452</f>
        <v>31333436</v>
      </c>
      <c r="H543" s="141">
        <f>Distt.Minor!H452</f>
        <v>200</v>
      </c>
    </row>
    <row r="544" spans="1:15" ht="17.100000000000001" customHeight="1" x14ac:dyDescent="0.25">
      <c r="A544" s="133">
        <v>11</v>
      </c>
      <c r="B544" s="192" t="s">
        <v>275</v>
      </c>
      <c r="C544" s="145">
        <f>Distt.Minor!C471</f>
        <v>0</v>
      </c>
      <c r="D544" s="145">
        <f>Distt.Minor!D471</f>
        <v>0</v>
      </c>
      <c r="E544" s="145">
        <f>Distt.Minor!E471</f>
        <v>0</v>
      </c>
      <c r="F544" s="145">
        <f>Distt.Minor!F471</f>
        <v>0</v>
      </c>
      <c r="G544" s="145">
        <f>Distt.Minor!G471</f>
        <v>0</v>
      </c>
      <c r="H544" s="145">
        <f>Distt.Minor!H471</f>
        <v>0</v>
      </c>
    </row>
    <row r="545" spans="1:15" ht="17.100000000000001" customHeight="1" x14ac:dyDescent="0.25">
      <c r="A545" s="133">
        <v>12</v>
      </c>
      <c r="B545" s="192" t="s">
        <v>264</v>
      </c>
      <c r="C545" s="119">
        <f>Distt.Minor!C526</f>
        <v>2</v>
      </c>
      <c r="D545" s="119">
        <f>Distt.Minor!D526</f>
        <v>10</v>
      </c>
      <c r="E545" s="119">
        <f>Distt.Minor!E526</f>
        <v>0</v>
      </c>
      <c r="F545" s="119">
        <f>Distt.Minor!F526</f>
        <v>0</v>
      </c>
      <c r="G545" s="119">
        <f>Distt.Minor!G526</f>
        <v>0</v>
      </c>
      <c r="H545" s="119">
        <f>Distt.Minor!H526</f>
        <v>0</v>
      </c>
    </row>
    <row r="546" spans="1:15" ht="17.100000000000001" customHeight="1" x14ac:dyDescent="0.25">
      <c r="A546" s="133">
        <v>13</v>
      </c>
      <c r="B546" s="192" t="s">
        <v>267</v>
      </c>
      <c r="C546" s="133">
        <f>Distt.Minor!C580</f>
        <v>66</v>
      </c>
      <c r="D546" s="133">
        <f>Distt.Minor!D580</f>
        <v>1502.2</v>
      </c>
      <c r="E546" s="133">
        <f>Distt.Minor!E580</f>
        <v>535539</v>
      </c>
      <c r="F546" s="133">
        <f>Distt.Minor!F580</f>
        <v>722977650</v>
      </c>
      <c r="G546" s="133">
        <f>Distt.Minor!G580</f>
        <v>104112562</v>
      </c>
      <c r="H546" s="133">
        <f>Distt.Minor!H580</f>
        <v>775</v>
      </c>
    </row>
    <row r="547" spans="1:15" ht="17.100000000000001" customHeight="1" x14ac:dyDescent="0.25">
      <c r="A547" s="1300" t="s">
        <v>50</v>
      </c>
      <c r="B547" s="1301"/>
      <c r="C547" s="4">
        <f t="shared" ref="C547:H547" si="71">SUM(C534:C546)</f>
        <v>176</v>
      </c>
      <c r="D547" s="5">
        <f t="shared" si="71"/>
        <v>6362.85</v>
      </c>
      <c r="E547" s="7">
        <f t="shared" si="71"/>
        <v>1526101.21</v>
      </c>
      <c r="F547" s="7">
        <f t="shared" si="71"/>
        <v>2074851415</v>
      </c>
      <c r="G547" s="7">
        <f t="shared" si="71"/>
        <v>262059663</v>
      </c>
      <c r="H547" s="4">
        <f t="shared" si="71"/>
        <v>2265</v>
      </c>
      <c r="J547" s="238">
        <f>'Minor Minerals'!C643</f>
        <v>176</v>
      </c>
      <c r="K547" s="238">
        <f>'Minor Minerals'!D643</f>
        <v>6362.85</v>
      </c>
      <c r="L547" s="238">
        <f>'Minor Minerals'!E643</f>
        <v>1526101.21</v>
      </c>
      <c r="M547" s="238">
        <f>'Minor Minerals'!F643</f>
        <v>2074851415</v>
      </c>
      <c r="N547" s="238">
        <f>'Minor Minerals'!G643</f>
        <v>262059663</v>
      </c>
      <c r="O547" s="238">
        <f>'Minor Minerals'!H643</f>
        <v>2265</v>
      </c>
    </row>
    <row r="548" spans="1:15" ht="17.100000000000001" customHeight="1" x14ac:dyDescent="0.25">
      <c r="A548" s="136"/>
      <c r="B548" s="136"/>
      <c r="C548" s="136"/>
      <c r="D548" s="136"/>
      <c r="E548" s="136"/>
      <c r="F548" s="136"/>
      <c r="G548" s="136"/>
      <c r="H548" s="136"/>
      <c r="J548" s="128">
        <f>J547-C547</f>
        <v>0</v>
      </c>
      <c r="K548" s="128">
        <f t="shared" ref="K548:O548" si="72">K547-D547</f>
        <v>0</v>
      </c>
      <c r="L548" s="128">
        <f t="shared" si="72"/>
        <v>0</v>
      </c>
      <c r="M548" s="128">
        <f t="shared" si="72"/>
        <v>0</v>
      </c>
      <c r="N548" s="128">
        <f t="shared" si="72"/>
        <v>0</v>
      </c>
      <c r="O548" s="128">
        <f t="shared" si="72"/>
        <v>0</v>
      </c>
    </row>
    <row r="549" spans="1:15" ht="17.100000000000001" customHeight="1" x14ac:dyDescent="0.25">
      <c r="A549" s="1155" t="s">
        <v>149</v>
      </c>
      <c r="B549" s="1155"/>
      <c r="C549" s="1155"/>
      <c r="D549" s="1155"/>
      <c r="E549" s="1155"/>
      <c r="F549" s="1155"/>
      <c r="G549" s="1155"/>
      <c r="H549" s="1155"/>
    </row>
    <row r="550" spans="1:15" ht="17.100000000000001" customHeight="1" x14ac:dyDescent="0.25">
      <c r="A550" s="1122" t="s">
        <v>2</v>
      </c>
      <c r="B550" s="1124" t="s">
        <v>270</v>
      </c>
      <c r="C550" s="249" t="s">
        <v>4</v>
      </c>
      <c r="D550" s="249" t="s">
        <v>5</v>
      </c>
      <c r="E550" s="249" t="s">
        <v>6</v>
      </c>
      <c r="F550" s="249" t="s">
        <v>7</v>
      </c>
      <c r="G550" s="249" t="s">
        <v>8</v>
      </c>
      <c r="H550" s="249" t="s">
        <v>9</v>
      </c>
    </row>
    <row r="551" spans="1:15" ht="17.100000000000001" customHeight="1" x14ac:dyDescent="0.25">
      <c r="A551" s="1123"/>
      <c r="B551" s="1125"/>
      <c r="C551" s="2" t="s">
        <v>10</v>
      </c>
      <c r="D551" s="2" t="s">
        <v>52</v>
      </c>
      <c r="E551" s="2" t="s">
        <v>79</v>
      </c>
      <c r="F551" s="52" t="s">
        <v>80</v>
      </c>
      <c r="G551" s="52" t="s">
        <v>80</v>
      </c>
      <c r="H551" s="2" t="s">
        <v>13</v>
      </c>
    </row>
    <row r="552" spans="1:15" ht="17.100000000000001" customHeight="1" x14ac:dyDescent="0.25">
      <c r="A552" s="133">
        <v>1</v>
      </c>
      <c r="B552" s="188" t="s">
        <v>248</v>
      </c>
      <c r="C552" s="116">
        <f>Distt.Minor!C176</f>
        <v>0</v>
      </c>
      <c r="D552" s="116">
        <f>Distt.Minor!D176</f>
        <v>0</v>
      </c>
      <c r="E552" s="116">
        <f>Distt.Minor!E176</f>
        <v>0</v>
      </c>
      <c r="F552" s="116">
        <f>Distt.Minor!F176</f>
        <v>0</v>
      </c>
      <c r="G552" s="116">
        <f>Distt.Minor!G176</f>
        <v>0</v>
      </c>
      <c r="H552" s="116">
        <f>Distt.Minor!H176</f>
        <v>0</v>
      </c>
    </row>
    <row r="553" spans="1:15" ht="17.100000000000001" customHeight="1" x14ac:dyDescent="0.25">
      <c r="A553" s="1300" t="s">
        <v>50</v>
      </c>
      <c r="B553" s="1301"/>
      <c r="C553" s="4">
        <f t="shared" ref="C553:H553" si="73">SUM(C552:C552)</f>
        <v>0</v>
      </c>
      <c r="D553" s="6">
        <f t="shared" si="73"/>
        <v>0</v>
      </c>
      <c r="E553" s="4">
        <f t="shared" si="73"/>
        <v>0</v>
      </c>
      <c r="F553" s="4">
        <f t="shared" si="73"/>
        <v>0</v>
      </c>
      <c r="G553" s="4">
        <f t="shared" si="73"/>
        <v>0</v>
      </c>
      <c r="H553" s="4">
        <f t="shared" si="73"/>
        <v>0</v>
      </c>
    </row>
    <row r="554" spans="1:15" ht="17.100000000000001" customHeight="1" x14ac:dyDescent="0.25">
      <c r="A554" s="136"/>
      <c r="B554" s="136"/>
      <c r="C554" s="136"/>
      <c r="D554" s="136"/>
      <c r="E554" s="136"/>
      <c r="F554" s="136"/>
      <c r="G554" s="136"/>
      <c r="H554" s="136"/>
    </row>
    <row r="555" spans="1:15" ht="17.100000000000001" customHeight="1" x14ac:dyDescent="0.25">
      <c r="A555" s="1155" t="s">
        <v>75</v>
      </c>
      <c r="B555" s="1155"/>
      <c r="C555" s="1155"/>
      <c r="D555" s="1155"/>
      <c r="E555" s="1155"/>
      <c r="F555" s="1155"/>
      <c r="G555" s="1155"/>
      <c r="H555" s="1155"/>
    </row>
    <row r="556" spans="1:15" ht="17.100000000000001" customHeight="1" x14ac:dyDescent="0.25">
      <c r="A556" s="1122" t="s">
        <v>2</v>
      </c>
      <c r="B556" s="1124" t="s">
        <v>270</v>
      </c>
      <c r="C556" s="249" t="s">
        <v>4</v>
      </c>
      <c r="D556" s="249" t="s">
        <v>5</v>
      </c>
      <c r="E556" s="249" t="s">
        <v>6</v>
      </c>
      <c r="F556" s="249" t="s">
        <v>7</v>
      </c>
      <c r="G556" s="249" t="s">
        <v>8</v>
      </c>
      <c r="H556" s="249" t="s">
        <v>9</v>
      </c>
    </row>
    <row r="557" spans="1:15" ht="17.100000000000001" customHeight="1" x14ac:dyDescent="0.25">
      <c r="A557" s="1123"/>
      <c r="B557" s="1125"/>
      <c r="C557" s="2" t="s">
        <v>10</v>
      </c>
      <c r="D557" s="2" t="s">
        <v>52</v>
      </c>
      <c r="E557" s="2" t="s">
        <v>79</v>
      </c>
      <c r="F557" s="52" t="s">
        <v>80</v>
      </c>
      <c r="G557" s="52" t="s">
        <v>80</v>
      </c>
      <c r="H557" s="2" t="s">
        <v>13</v>
      </c>
    </row>
    <row r="558" spans="1:15" ht="17.100000000000001" customHeight="1" x14ac:dyDescent="0.25">
      <c r="A558" s="471">
        <v>1</v>
      </c>
      <c r="B558" s="666" t="s">
        <v>240</v>
      </c>
      <c r="C558" s="217">
        <v>0</v>
      </c>
      <c r="D558" s="216">
        <v>0</v>
      </c>
      <c r="E558" s="216">
        <v>0</v>
      </c>
      <c r="F558" s="63">
        <v>0</v>
      </c>
      <c r="G558" s="1082">
        <f>Distt.Minor!G21</f>
        <v>31309174</v>
      </c>
      <c r="H558" s="217">
        <v>0</v>
      </c>
    </row>
    <row r="559" spans="1:15" ht="17.100000000000001" customHeight="1" x14ac:dyDescent="0.25">
      <c r="A559" s="471">
        <v>2</v>
      </c>
      <c r="B559" s="666" t="s">
        <v>271</v>
      </c>
      <c r="C559" s="217">
        <v>0</v>
      </c>
      <c r="D559" s="216">
        <v>0</v>
      </c>
      <c r="E559" s="217">
        <v>0</v>
      </c>
      <c r="F559" s="217">
        <v>0</v>
      </c>
      <c r="G559" s="1083">
        <f>Distt.Minor!G40</f>
        <v>95691867</v>
      </c>
      <c r="H559" s="143">
        <v>0</v>
      </c>
    </row>
    <row r="560" spans="1:15" ht="17.100000000000001" customHeight="1" x14ac:dyDescent="0.25">
      <c r="A560" s="471">
        <v>3</v>
      </c>
      <c r="B560" s="666" t="s">
        <v>242</v>
      </c>
      <c r="C560" s="221">
        <v>0</v>
      </c>
      <c r="D560" s="221">
        <v>0</v>
      </c>
      <c r="E560" s="216">
        <v>0</v>
      </c>
      <c r="F560" s="63">
        <v>0</v>
      </c>
      <c r="G560" s="1084">
        <f>Distt.Minor!G56</f>
        <v>43098980</v>
      </c>
      <c r="H560" s="137">
        <v>0</v>
      </c>
    </row>
    <row r="561" spans="1:12" ht="17.100000000000001" customHeight="1" x14ac:dyDescent="0.25">
      <c r="A561" s="471">
        <v>4</v>
      </c>
      <c r="B561" s="666" t="s">
        <v>282</v>
      </c>
      <c r="C561" s="221">
        <v>0</v>
      </c>
      <c r="D561" s="221">
        <v>0</v>
      </c>
      <c r="E561" s="216">
        <v>0</v>
      </c>
      <c r="F561" s="63">
        <v>0</v>
      </c>
      <c r="G561" s="1085">
        <f>Distt.Minor!G87</f>
        <v>71025686</v>
      </c>
      <c r="H561" s="137">
        <v>0</v>
      </c>
    </row>
    <row r="562" spans="1:12" ht="17.100000000000001" customHeight="1" x14ac:dyDescent="0.25">
      <c r="A562" s="471">
        <v>5</v>
      </c>
      <c r="B562" s="666" t="s">
        <v>243</v>
      </c>
      <c r="C562" s="221">
        <v>0</v>
      </c>
      <c r="D562" s="221">
        <v>0</v>
      </c>
      <c r="E562" s="216">
        <v>0</v>
      </c>
      <c r="F562" s="63">
        <v>0</v>
      </c>
      <c r="G562" s="217">
        <f>Distt.Minor!G75</f>
        <v>65653345</v>
      </c>
      <c r="H562" s="221">
        <v>0</v>
      </c>
    </row>
    <row r="563" spans="1:12" ht="17.100000000000001" customHeight="1" x14ac:dyDescent="0.25">
      <c r="A563" s="471">
        <v>6</v>
      </c>
      <c r="B563" s="666" t="s">
        <v>244</v>
      </c>
      <c r="C563" s="221">
        <v>0</v>
      </c>
      <c r="D563" s="221">
        <v>0</v>
      </c>
      <c r="E563" s="216">
        <v>0</v>
      </c>
      <c r="F563" s="63">
        <v>0</v>
      </c>
      <c r="G563" s="1084">
        <f>Distt.Minor!G103</f>
        <v>30752751</v>
      </c>
      <c r="H563" s="221">
        <v>0</v>
      </c>
    </row>
    <row r="564" spans="1:12" ht="17.100000000000001" customHeight="1" x14ac:dyDescent="0.25">
      <c r="A564" s="471">
        <v>7</v>
      </c>
      <c r="B564" s="666" t="s">
        <v>245</v>
      </c>
      <c r="C564" s="217">
        <v>0</v>
      </c>
      <c r="D564" s="216">
        <v>0</v>
      </c>
      <c r="E564" s="216">
        <v>0</v>
      </c>
      <c r="F564" s="63">
        <v>0</v>
      </c>
      <c r="G564" s="1083">
        <f>Distt.Minor!G128</f>
        <v>8832358</v>
      </c>
      <c r="H564" s="217">
        <v>0</v>
      </c>
    </row>
    <row r="565" spans="1:12" ht="17.100000000000001" customHeight="1" x14ac:dyDescent="0.25">
      <c r="A565" s="471">
        <v>8</v>
      </c>
      <c r="B565" s="666" t="s">
        <v>246</v>
      </c>
      <c r="C565" s="221">
        <v>0</v>
      </c>
      <c r="D565" s="221">
        <v>0</v>
      </c>
      <c r="E565" s="216">
        <v>0</v>
      </c>
      <c r="F565" s="63">
        <v>0</v>
      </c>
      <c r="G565" s="217">
        <f>Distt.Minor!G143</f>
        <v>12254327</v>
      </c>
      <c r="H565" s="221">
        <v>0</v>
      </c>
    </row>
    <row r="566" spans="1:12" ht="17.100000000000001" customHeight="1" x14ac:dyDescent="0.25">
      <c r="A566" s="471">
        <v>9</v>
      </c>
      <c r="B566" s="666" t="s">
        <v>247</v>
      </c>
      <c r="C566" s="217">
        <v>0</v>
      </c>
      <c r="D566" s="216">
        <v>0</v>
      </c>
      <c r="E566" s="216">
        <v>0</v>
      </c>
      <c r="F566" s="341">
        <v>0</v>
      </c>
      <c r="G566" s="1083">
        <f>Distt.Minor!G159</f>
        <v>30080000</v>
      </c>
      <c r="H566" s="217">
        <v>0</v>
      </c>
    </row>
    <row r="567" spans="1:12" ht="17.100000000000001" customHeight="1" x14ac:dyDescent="0.25">
      <c r="A567" s="471">
        <v>10</v>
      </c>
      <c r="B567" s="666" t="s">
        <v>248</v>
      </c>
      <c r="C567" s="221">
        <v>0</v>
      </c>
      <c r="D567" s="221">
        <v>0</v>
      </c>
      <c r="E567" s="216">
        <v>0</v>
      </c>
      <c r="F567" s="63">
        <v>0</v>
      </c>
      <c r="G567" s="1084">
        <f>Distt.Minor!G186</f>
        <v>59915948</v>
      </c>
      <c r="H567" s="221">
        <v>0</v>
      </c>
    </row>
    <row r="568" spans="1:12" ht="17.100000000000001" customHeight="1" x14ac:dyDescent="0.25">
      <c r="A568" s="471">
        <v>11</v>
      </c>
      <c r="B568" s="666" t="s">
        <v>284</v>
      </c>
      <c r="C568" s="217">
        <v>0</v>
      </c>
      <c r="D568" s="216">
        <v>0</v>
      </c>
      <c r="E568" s="216">
        <v>0</v>
      </c>
      <c r="F568" s="63">
        <v>0</v>
      </c>
      <c r="G568" s="1083">
        <f>Distt.Minor!G198</f>
        <v>7789551</v>
      </c>
      <c r="H568" s="221">
        <v>0</v>
      </c>
    </row>
    <row r="569" spans="1:12" ht="17.100000000000001" customHeight="1" x14ac:dyDescent="0.25">
      <c r="A569" s="471">
        <v>12</v>
      </c>
      <c r="B569" s="666" t="s">
        <v>249</v>
      </c>
      <c r="C569" s="221">
        <v>0</v>
      </c>
      <c r="D569" s="221">
        <v>0</v>
      </c>
      <c r="E569" s="216">
        <v>0</v>
      </c>
      <c r="F569" s="63">
        <v>0</v>
      </c>
      <c r="G569" s="1084">
        <f>Distt.Minor!G217</f>
        <v>21782133</v>
      </c>
      <c r="H569" s="221">
        <v>0</v>
      </c>
    </row>
    <row r="570" spans="1:12" ht="17.100000000000001" customHeight="1" x14ac:dyDescent="0.25">
      <c r="A570" s="471">
        <v>13</v>
      </c>
      <c r="B570" s="666" t="s">
        <v>285</v>
      </c>
      <c r="C570" s="217">
        <v>0</v>
      </c>
      <c r="D570" s="216">
        <v>0</v>
      </c>
      <c r="E570" s="216">
        <v>0</v>
      </c>
      <c r="F570" s="63">
        <v>0</v>
      </c>
      <c r="G570" s="983">
        <f>Distt.Minor!G228</f>
        <v>26775000</v>
      </c>
      <c r="H570" s="221">
        <v>0</v>
      </c>
    </row>
    <row r="571" spans="1:12" ht="17.100000000000001" customHeight="1" x14ac:dyDescent="0.25">
      <c r="A571" s="471">
        <v>14</v>
      </c>
      <c r="B571" s="666" t="s">
        <v>250</v>
      </c>
      <c r="C571" s="221">
        <v>0</v>
      </c>
      <c r="D571" s="221">
        <v>0</v>
      </c>
      <c r="E571" s="216">
        <v>0</v>
      </c>
      <c r="F571" s="63">
        <v>0</v>
      </c>
      <c r="G571" s="1045">
        <f>Distt.Minor!G243</f>
        <v>49514186</v>
      </c>
      <c r="H571" s="216">
        <v>0</v>
      </c>
    </row>
    <row r="572" spans="1:12" ht="17.100000000000001" customHeight="1" x14ac:dyDescent="0.25">
      <c r="A572" s="471">
        <v>15</v>
      </c>
      <c r="B572" s="666" t="s">
        <v>251</v>
      </c>
      <c r="C572" s="217">
        <v>0</v>
      </c>
      <c r="D572" s="216">
        <v>0</v>
      </c>
      <c r="E572" s="216">
        <v>0</v>
      </c>
      <c r="F572" s="63">
        <v>0</v>
      </c>
      <c r="G572" s="619">
        <f>Distt.Minor!G253</f>
        <v>13643505</v>
      </c>
      <c r="H572" s="221">
        <v>0</v>
      </c>
    </row>
    <row r="573" spans="1:12" ht="17.100000000000001" customHeight="1" x14ac:dyDescent="0.25">
      <c r="A573" s="471">
        <v>16</v>
      </c>
      <c r="B573" s="666" t="s">
        <v>252</v>
      </c>
      <c r="C573" s="221">
        <v>0</v>
      </c>
      <c r="D573" s="221">
        <v>0</v>
      </c>
      <c r="E573" s="216">
        <v>0</v>
      </c>
      <c r="F573" s="63">
        <v>0</v>
      </c>
      <c r="G573" s="1045">
        <f>Distt.Minor!G303</f>
        <v>320418165</v>
      </c>
      <c r="H573" s="221">
        <v>0</v>
      </c>
    </row>
    <row r="574" spans="1:12" ht="17.100000000000001" customHeight="1" x14ac:dyDescent="0.25">
      <c r="A574" s="471">
        <v>17</v>
      </c>
      <c r="B574" s="666" t="s">
        <v>272</v>
      </c>
      <c r="C574" s="217">
        <v>0</v>
      </c>
      <c r="D574" s="216">
        <v>0</v>
      </c>
      <c r="E574" s="216">
        <v>0</v>
      </c>
      <c r="F574" s="63">
        <v>0</v>
      </c>
      <c r="G574" s="984">
        <f>Distt.Minor!G275</f>
        <v>58882013</v>
      </c>
      <c r="H574" s="221">
        <v>0</v>
      </c>
    </row>
    <row r="575" spans="1:12" ht="17.100000000000001" customHeight="1" x14ac:dyDescent="0.25">
      <c r="A575" s="471">
        <v>18</v>
      </c>
      <c r="B575" s="666" t="s">
        <v>255</v>
      </c>
      <c r="C575" s="377">
        <v>0</v>
      </c>
      <c r="D575" s="377">
        <v>0</v>
      </c>
      <c r="E575" s="377">
        <v>0</v>
      </c>
      <c r="F575" s="377">
        <v>0</v>
      </c>
      <c r="G575" s="984">
        <f>Distt.Minor!G317</f>
        <v>158667357</v>
      </c>
      <c r="H575" s="377">
        <v>0</v>
      </c>
    </row>
    <row r="576" spans="1:12" ht="17.100000000000001" customHeight="1" x14ac:dyDescent="0.25">
      <c r="A576" s="471">
        <v>19</v>
      </c>
      <c r="B576" s="666" t="s">
        <v>286</v>
      </c>
      <c r="C576" s="221">
        <v>0</v>
      </c>
      <c r="D576" s="221">
        <v>0</v>
      </c>
      <c r="E576" s="221">
        <v>0</v>
      </c>
      <c r="F576" s="166">
        <v>0</v>
      </c>
      <c r="G576" s="982">
        <f>Distt.Minor!G331</f>
        <v>55439000</v>
      </c>
      <c r="H576" s="221">
        <v>0</v>
      </c>
      <c r="L576" s="672"/>
    </row>
    <row r="577" spans="1:10" ht="17.100000000000001" customHeight="1" x14ac:dyDescent="0.25">
      <c r="A577" s="471">
        <v>20</v>
      </c>
      <c r="B577" s="666" t="s">
        <v>256</v>
      </c>
      <c r="C577" s="308">
        <v>0</v>
      </c>
      <c r="D577" s="222">
        <v>0</v>
      </c>
      <c r="E577" s="222">
        <v>0</v>
      </c>
      <c r="F577" s="236">
        <v>0</v>
      </c>
      <c r="G577" s="982">
        <f>Distt.Minor!G350</f>
        <v>11000000</v>
      </c>
      <c r="H577" s="460">
        <v>0</v>
      </c>
    </row>
    <row r="578" spans="1:10" ht="17.100000000000001" customHeight="1" x14ac:dyDescent="0.25">
      <c r="A578" s="471">
        <v>21</v>
      </c>
      <c r="B578" s="666" t="s">
        <v>257</v>
      </c>
      <c r="C578" s="221">
        <v>0</v>
      </c>
      <c r="D578" s="221">
        <v>0</v>
      </c>
      <c r="E578" s="216">
        <v>0</v>
      </c>
      <c r="F578" s="63">
        <v>0</v>
      </c>
      <c r="G578" s="1084">
        <f>Distt.Minor!G367</f>
        <v>116450330</v>
      </c>
      <c r="H578" s="221">
        <v>0</v>
      </c>
    </row>
    <row r="579" spans="1:10" ht="17.100000000000001" customHeight="1" x14ac:dyDescent="0.25">
      <c r="A579" s="471">
        <v>22</v>
      </c>
      <c r="B579" s="666" t="s">
        <v>273</v>
      </c>
      <c r="C579" s="217">
        <v>0</v>
      </c>
      <c r="D579" s="216">
        <v>0</v>
      </c>
      <c r="E579" s="216">
        <v>0</v>
      </c>
      <c r="F579" s="63">
        <v>0</v>
      </c>
      <c r="G579" s="1087">
        <f>Distt.Minor!G385</f>
        <v>18682377</v>
      </c>
      <c r="H579" s="221">
        <v>0</v>
      </c>
    </row>
    <row r="580" spans="1:10" ht="17.100000000000001" customHeight="1" x14ac:dyDescent="0.25">
      <c r="A580" s="471">
        <v>23</v>
      </c>
      <c r="B580" s="666" t="s">
        <v>274</v>
      </c>
      <c r="C580" s="374">
        <v>0</v>
      </c>
      <c r="D580" s="374">
        <v>0</v>
      </c>
      <c r="E580" s="223">
        <v>0</v>
      </c>
      <c r="F580" s="288">
        <v>0</v>
      </c>
      <c r="G580" s="1088">
        <f>Distt.Minor!G398</f>
        <v>103967</v>
      </c>
      <c r="H580" s="376">
        <v>0</v>
      </c>
      <c r="J580" s="128"/>
    </row>
    <row r="581" spans="1:10" ht="17.100000000000001" customHeight="1" x14ac:dyDescent="0.25">
      <c r="A581" s="471">
        <v>24</v>
      </c>
      <c r="B581" s="666" t="s">
        <v>259</v>
      </c>
      <c r="C581" s="216">
        <v>0</v>
      </c>
      <c r="D581" s="216">
        <v>0</v>
      </c>
      <c r="E581" s="216">
        <v>0</v>
      </c>
      <c r="F581" s="143">
        <v>0</v>
      </c>
      <c r="G581" s="1089">
        <f>Distt.Minor!G418</f>
        <v>13857095</v>
      </c>
      <c r="H581" s="222">
        <v>0</v>
      </c>
      <c r="J581" s="128"/>
    </row>
    <row r="582" spans="1:10" ht="17.100000000000001" customHeight="1" x14ac:dyDescent="0.25">
      <c r="A582" s="471">
        <v>25</v>
      </c>
      <c r="B582" s="666" t="s">
        <v>260</v>
      </c>
      <c r="C582" s="217">
        <v>0</v>
      </c>
      <c r="D582" s="216">
        <v>0</v>
      </c>
      <c r="E582" s="216">
        <v>0</v>
      </c>
      <c r="F582" s="63">
        <v>0</v>
      </c>
      <c r="G582" s="217">
        <f>Distt.Minor!G438</f>
        <v>18725636</v>
      </c>
      <c r="H582" s="217">
        <v>0</v>
      </c>
    </row>
    <row r="583" spans="1:10" ht="17.100000000000001" customHeight="1" x14ac:dyDescent="0.25">
      <c r="A583" s="471">
        <v>26</v>
      </c>
      <c r="B583" s="666" t="s">
        <v>261</v>
      </c>
      <c r="C583" s="221">
        <v>0</v>
      </c>
      <c r="D583" s="221">
        <v>0</v>
      </c>
      <c r="E583" s="216">
        <v>0</v>
      </c>
      <c r="F583" s="63">
        <v>0</v>
      </c>
      <c r="G583" s="1084">
        <f>Distt.Minor!G457</f>
        <v>12377515</v>
      </c>
      <c r="H583" s="221">
        <v>0</v>
      </c>
    </row>
    <row r="584" spans="1:10" ht="17.100000000000001" customHeight="1" x14ac:dyDescent="0.25">
      <c r="A584" s="471">
        <v>27</v>
      </c>
      <c r="B584" s="666" t="s">
        <v>275</v>
      </c>
      <c r="C584" s="217">
        <v>0</v>
      </c>
      <c r="D584" s="216">
        <v>0</v>
      </c>
      <c r="E584" s="216">
        <v>0</v>
      </c>
      <c r="F584" s="63">
        <v>0</v>
      </c>
      <c r="G584" s="1086">
        <f>Distt.Minor!G482</f>
        <v>54659362</v>
      </c>
      <c r="H584" s="217">
        <v>0</v>
      </c>
    </row>
    <row r="585" spans="1:10" ht="17.100000000000001" customHeight="1" x14ac:dyDescent="0.25">
      <c r="A585" s="471">
        <v>28</v>
      </c>
      <c r="B585" s="667" t="s">
        <v>276</v>
      </c>
      <c r="C585" s="217">
        <v>0</v>
      </c>
      <c r="D585" s="217">
        <v>0</v>
      </c>
      <c r="E585" s="216">
        <v>0</v>
      </c>
      <c r="F585" s="217">
        <v>0</v>
      </c>
      <c r="G585" s="217">
        <f>Distt.Minor!G498</f>
        <v>11347361</v>
      </c>
      <c r="H585" s="217">
        <v>0</v>
      </c>
    </row>
    <row r="586" spans="1:10" ht="17.100000000000001" customHeight="1" x14ac:dyDescent="0.25">
      <c r="A586" s="471">
        <v>29</v>
      </c>
      <c r="B586" s="666" t="s">
        <v>277</v>
      </c>
      <c r="C586" s="217">
        <v>0</v>
      </c>
      <c r="D586" s="216">
        <v>0</v>
      </c>
      <c r="E586" s="216">
        <v>0</v>
      </c>
      <c r="F586" s="63">
        <v>0</v>
      </c>
      <c r="G586" s="221">
        <f>Distt.Minor!G507</f>
        <v>559964</v>
      </c>
      <c r="H586" s="221">
        <v>0</v>
      </c>
    </row>
    <row r="587" spans="1:10" ht="17.100000000000001" customHeight="1" x14ac:dyDescent="0.25">
      <c r="A587" s="471">
        <v>30</v>
      </c>
      <c r="B587" s="666" t="s">
        <v>264</v>
      </c>
      <c r="C587" s="228">
        <v>0</v>
      </c>
      <c r="D587" s="228">
        <v>0</v>
      </c>
      <c r="E587" s="228">
        <v>0</v>
      </c>
      <c r="F587" s="228">
        <v>0</v>
      </c>
      <c r="G587" s="213">
        <f>Distt.Minor!G529</f>
        <v>14797100</v>
      </c>
      <c r="H587" s="213">
        <v>0</v>
      </c>
    </row>
    <row r="588" spans="1:10" ht="17.100000000000001" customHeight="1" x14ac:dyDescent="0.25">
      <c r="A588" s="471">
        <v>31</v>
      </c>
      <c r="B588" s="666" t="s">
        <v>265</v>
      </c>
      <c r="C588" s="217">
        <v>0</v>
      </c>
      <c r="D588" s="217">
        <v>0</v>
      </c>
      <c r="E588" s="216">
        <v>0</v>
      </c>
      <c r="F588" s="63">
        <v>0</v>
      </c>
      <c r="G588" s="1083">
        <f>Distt.Minor!G546</f>
        <v>27228078</v>
      </c>
      <c r="H588" s="217">
        <v>0</v>
      </c>
    </row>
    <row r="589" spans="1:10" ht="17.100000000000001" customHeight="1" x14ac:dyDescent="0.25">
      <c r="A589" s="471">
        <v>32</v>
      </c>
      <c r="B589" s="666" t="s">
        <v>278</v>
      </c>
      <c r="C589" s="217">
        <v>0</v>
      </c>
      <c r="D589" s="216">
        <v>0</v>
      </c>
      <c r="E589" s="216">
        <v>0</v>
      </c>
      <c r="F589" s="63">
        <v>0</v>
      </c>
      <c r="G589" s="221">
        <f>Distt.Minor!G563</f>
        <v>15833452</v>
      </c>
      <c r="H589" s="221">
        <v>0</v>
      </c>
    </row>
    <row r="590" spans="1:10" ht="17.100000000000001" customHeight="1" x14ac:dyDescent="0.25">
      <c r="A590" s="471">
        <v>33</v>
      </c>
      <c r="B590" s="666" t="s">
        <v>267</v>
      </c>
      <c r="C590" s="221">
        <v>0</v>
      </c>
      <c r="D590" s="221">
        <v>0</v>
      </c>
      <c r="E590" s="216">
        <v>0</v>
      </c>
      <c r="F590" s="63">
        <v>0</v>
      </c>
      <c r="G590" s="1084">
        <f>Distt.Minor!G591</f>
        <v>3787863</v>
      </c>
      <c r="H590" s="221">
        <v>0</v>
      </c>
    </row>
    <row r="591" spans="1:10" ht="17.100000000000001" customHeight="1" x14ac:dyDescent="0.25">
      <c r="A591" s="1308" t="s">
        <v>50</v>
      </c>
      <c r="B591" s="1309"/>
      <c r="C591" s="4"/>
      <c r="D591" s="6"/>
      <c r="E591" s="4"/>
      <c r="F591" s="4"/>
      <c r="G591" s="7">
        <f>SUM(G558:G590)</f>
        <v>1480935446</v>
      </c>
      <c r="H591" s="4"/>
      <c r="J591" s="650">
        <f>'Minor Minerals'!G703</f>
        <v>1149489469</v>
      </c>
    </row>
    <row r="592" spans="1:10" ht="17.100000000000001" customHeight="1" x14ac:dyDescent="0.25">
      <c r="A592" s="136"/>
      <c r="B592" s="136"/>
      <c r="C592" s="136"/>
      <c r="D592" s="136"/>
      <c r="E592" s="136"/>
      <c r="F592" s="136"/>
      <c r="G592" s="136"/>
      <c r="H592" s="136"/>
      <c r="J592" s="123">
        <f>J591-G591</f>
        <v>-331445977</v>
      </c>
    </row>
    <row r="593" spans="1:11" ht="17.100000000000001" customHeight="1" x14ac:dyDescent="0.25">
      <c r="A593" s="1155" t="s">
        <v>49</v>
      </c>
      <c r="B593" s="1155"/>
      <c r="C593" s="1155"/>
      <c r="D593" s="1155"/>
      <c r="E593" s="1155"/>
      <c r="F593" s="1155"/>
      <c r="G593" s="1155"/>
      <c r="H593" s="1155"/>
    </row>
    <row r="594" spans="1:11" ht="17.100000000000001" customHeight="1" x14ac:dyDescent="0.25">
      <c r="A594" s="1122" t="s">
        <v>2</v>
      </c>
      <c r="B594" s="1124" t="s">
        <v>270</v>
      </c>
      <c r="C594" s="249" t="s">
        <v>4</v>
      </c>
      <c r="D594" s="249" t="s">
        <v>5</v>
      </c>
      <c r="E594" s="249" t="s">
        <v>6</v>
      </c>
      <c r="F594" s="249" t="s">
        <v>7</v>
      </c>
      <c r="G594" s="249" t="s">
        <v>8</v>
      </c>
      <c r="H594" s="249" t="s">
        <v>9</v>
      </c>
    </row>
    <row r="595" spans="1:11" ht="17.100000000000001" customHeight="1" x14ac:dyDescent="0.25">
      <c r="A595" s="1123"/>
      <c r="B595" s="1125"/>
      <c r="C595" s="2" t="s">
        <v>10</v>
      </c>
      <c r="D595" s="2" t="s">
        <v>52</v>
      </c>
      <c r="E595" s="2" t="s">
        <v>79</v>
      </c>
      <c r="F595" s="52" t="s">
        <v>80</v>
      </c>
      <c r="G595" s="52" t="s">
        <v>80</v>
      </c>
      <c r="H595" s="2" t="s">
        <v>13</v>
      </c>
    </row>
    <row r="596" spans="1:11" s="281" customFormat="1" ht="17.100000000000001" customHeight="1" x14ac:dyDescent="0.2">
      <c r="A596" s="471">
        <v>1</v>
      </c>
      <c r="B596" s="666" t="s">
        <v>240</v>
      </c>
      <c r="C596" s="63">
        <v>0</v>
      </c>
      <c r="D596" s="216">
        <v>0</v>
      </c>
      <c r="E596" s="216">
        <v>0</v>
      </c>
      <c r="F596" s="217">
        <v>0</v>
      </c>
      <c r="G596" s="252">
        <f>Distt.Minor!G22</f>
        <v>395166419</v>
      </c>
      <c r="H596" s="217">
        <v>0</v>
      </c>
    </row>
    <row r="597" spans="1:11" s="281" customFormat="1" ht="17.100000000000001" customHeight="1" x14ac:dyDescent="0.2">
      <c r="A597" s="471">
        <v>2</v>
      </c>
      <c r="B597" s="666" t="s">
        <v>271</v>
      </c>
      <c r="C597" s="63">
        <v>0</v>
      </c>
      <c r="D597" s="216">
        <v>0</v>
      </c>
      <c r="E597" s="217">
        <v>0</v>
      </c>
      <c r="F597" s="217">
        <v>0</v>
      </c>
      <c r="G597" s="217">
        <f>Distt.Minor!G41</f>
        <v>387600000</v>
      </c>
      <c r="H597" s="143">
        <v>0</v>
      </c>
    </row>
    <row r="598" spans="1:11" s="281" customFormat="1" ht="17.100000000000001" customHeight="1" x14ac:dyDescent="0.2">
      <c r="A598" s="471">
        <v>3</v>
      </c>
      <c r="B598" s="666" t="s">
        <v>242</v>
      </c>
      <c r="C598" s="166">
        <v>0</v>
      </c>
      <c r="D598" s="228">
        <v>0</v>
      </c>
      <c r="E598" s="228">
        <v>0</v>
      </c>
      <c r="F598" s="228">
        <v>0</v>
      </c>
      <c r="G598" s="228">
        <f>Distt.Minor!G57</f>
        <v>91333372</v>
      </c>
      <c r="H598" s="166">
        <v>0</v>
      </c>
    </row>
    <row r="599" spans="1:11" s="281" customFormat="1" ht="17.100000000000001" customHeight="1" x14ac:dyDescent="0.2">
      <c r="A599" s="471">
        <v>4</v>
      </c>
      <c r="B599" s="666" t="s">
        <v>282</v>
      </c>
      <c r="C599" s="166">
        <v>0</v>
      </c>
      <c r="D599" s="228">
        <v>0</v>
      </c>
      <c r="E599" s="221">
        <v>0</v>
      </c>
      <c r="F599" s="228">
        <v>0</v>
      </c>
      <c r="G599" s="228">
        <f>Distt.Minor!G88</f>
        <v>25869321</v>
      </c>
      <c r="H599" s="228">
        <v>0</v>
      </c>
    </row>
    <row r="600" spans="1:11" s="281" customFormat="1" ht="17.100000000000001" customHeight="1" x14ac:dyDescent="0.2">
      <c r="A600" s="471">
        <v>5</v>
      </c>
      <c r="B600" s="666" t="s">
        <v>243</v>
      </c>
      <c r="C600" s="166">
        <v>0</v>
      </c>
      <c r="D600" s="221">
        <v>0</v>
      </c>
      <c r="E600" s="221">
        <v>0</v>
      </c>
      <c r="F600" s="228">
        <v>0</v>
      </c>
      <c r="G600" s="228">
        <f>Distt.Minor!G76</f>
        <v>99083920</v>
      </c>
      <c r="H600" s="228">
        <v>0</v>
      </c>
    </row>
    <row r="601" spans="1:11" s="281" customFormat="1" ht="17.100000000000001" customHeight="1" x14ac:dyDescent="0.2">
      <c r="A601" s="471">
        <v>6</v>
      </c>
      <c r="B601" s="666" t="s">
        <v>244</v>
      </c>
      <c r="C601" s="137">
        <v>0</v>
      </c>
      <c r="D601" s="221">
        <v>0</v>
      </c>
      <c r="E601" s="221">
        <v>0</v>
      </c>
      <c r="F601" s="221">
        <v>0</v>
      </c>
      <c r="G601" s="204">
        <f>Distt.Minor!G104</f>
        <v>115837965</v>
      </c>
      <c r="H601" s="137">
        <v>0</v>
      </c>
    </row>
    <row r="602" spans="1:11" s="281" customFormat="1" ht="17.100000000000001" customHeight="1" x14ac:dyDescent="0.2">
      <c r="A602" s="471">
        <v>7</v>
      </c>
      <c r="B602" s="666" t="s">
        <v>245</v>
      </c>
      <c r="C602" s="166">
        <v>0</v>
      </c>
      <c r="D602" s="221">
        <v>0</v>
      </c>
      <c r="E602" s="221">
        <v>0</v>
      </c>
      <c r="F602" s="228">
        <v>0</v>
      </c>
      <c r="G602" s="228">
        <f>Distt.Minor!G129</f>
        <v>258419600</v>
      </c>
      <c r="H602" s="228">
        <v>0</v>
      </c>
    </row>
    <row r="603" spans="1:11" s="281" customFormat="1" ht="17.100000000000001" customHeight="1" x14ac:dyDescent="0.2">
      <c r="A603" s="471">
        <v>8</v>
      </c>
      <c r="B603" s="666" t="s">
        <v>246</v>
      </c>
      <c r="C603" s="166">
        <v>0</v>
      </c>
      <c r="D603" s="228">
        <v>0</v>
      </c>
      <c r="E603" s="221">
        <v>0</v>
      </c>
      <c r="F603" s="228">
        <v>0</v>
      </c>
      <c r="G603" s="228">
        <f>Distt.Minor!G144</f>
        <v>160367233</v>
      </c>
      <c r="H603" s="228">
        <v>0</v>
      </c>
    </row>
    <row r="604" spans="1:11" s="281" customFormat="1" ht="17.100000000000001" customHeight="1" x14ac:dyDescent="0.2">
      <c r="A604" s="471">
        <v>9</v>
      </c>
      <c r="B604" s="666" t="s">
        <v>247</v>
      </c>
      <c r="C604" s="166">
        <v>0</v>
      </c>
      <c r="D604" s="221">
        <v>0</v>
      </c>
      <c r="E604" s="221">
        <v>0</v>
      </c>
      <c r="F604" s="472">
        <v>0</v>
      </c>
      <c r="G604" s="228">
        <f>Distt.Minor!G160</f>
        <v>0</v>
      </c>
      <c r="H604" s="228">
        <v>0</v>
      </c>
      <c r="K604" s="765"/>
    </row>
    <row r="605" spans="1:11" s="281" customFormat="1" ht="17.100000000000001" customHeight="1" x14ac:dyDescent="0.2">
      <c r="A605" s="471">
        <v>10</v>
      </c>
      <c r="B605" s="666" t="s">
        <v>248</v>
      </c>
      <c r="C605" s="166">
        <v>0</v>
      </c>
      <c r="D605" s="228">
        <v>0</v>
      </c>
      <c r="E605" s="228">
        <v>0</v>
      </c>
      <c r="F605" s="228">
        <v>0</v>
      </c>
      <c r="G605" s="228">
        <f>Distt.Minor!G187</f>
        <v>125716571</v>
      </c>
      <c r="H605" s="137">
        <v>0</v>
      </c>
      <c r="K605" s="765"/>
    </row>
    <row r="606" spans="1:11" s="281" customFormat="1" ht="17.100000000000001" customHeight="1" x14ac:dyDescent="0.2">
      <c r="A606" s="471">
        <v>11</v>
      </c>
      <c r="B606" s="666" t="s">
        <v>284</v>
      </c>
      <c r="C606" s="166">
        <v>0</v>
      </c>
      <c r="D606" s="221">
        <v>0</v>
      </c>
      <c r="E606" s="221">
        <v>0</v>
      </c>
      <c r="F606" s="228">
        <v>0</v>
      </c>
      <c r="G606" s="228">
        <f>Distt.Minor!G199</f>
        <v>0</v>
      </c>
      <c r="H606" s="228">
        <v>0</v>
      </c>
    </row>
    <row r="607" spans="1:11" s="281" customFormat="1" ht="17.100000000000001" customHeight="1" x14ac:dyDescent="0.2">
      <c r="A607" s="471">
        <v>12</v>
      </c>
      <c r="B607" s="666" t="s">
        <v>249</v>
      </c>
      <c r="C607" s="63">
        <v>0</v>
      </c>
      <c r="D607" s="216">
        <v>0</v>
      </c>
      <c r="E607" s="216">
        <v>0</v>
      </c>
      <c r="F607" s="217">
        <v>0</v>
      </c>
      <c r="G607" s="217">
        <f>Distt.Minor!G218</f>
        <v>0</v>
      </c>
      <c r="H607" s="217">
        <v>0</v>
      </c>
    </row>
    <row r="608" spans="1:11" s="281" customFormat="1" ht="17.100000000000001" customHeight="1" x14ac:dyDescent="0.2">
      <c r="A608" s="471">
        <v>13</v>
      </c>
      <c r="B608" s="666" t="s">
        <v>285</v>
      </c>
      <c r="C608" s="63">
        <v>0</v>
      </c>
      <c r="D608" s="216">
        <v>0</v>
      </c>
      <c r="E608" s="216">
        <v>0</v>
      </c>
      <c r="F608" s="217">
        <v>0</v>
      </c>
      <c r="G608" s="252">
        <f>Distt.Minor!G229</f>
        <v>21343000</v>
      </c>
      <c r="H608" s="217">
        <v>0</v>
      </c>
    </row>
    <row r="609" spans="1:8" s="281" customFormat="1" ht="17.100000000000001" customHeight="1" x14ac:dyDescent="0.2">
      <c r="A609" s="471">
        <v>14</v>
      </c>
      <c r="B609" s="666" t="s">
        <v>250</v>
      </c>
      <c r="C609" s="143">
        <v>0</v>
      </c>
      <c r="D609" s="216">
        <v>0</v>
      </c>
      <c r="E609" s="216">
        <v>0</v>
      </c>
      <c r="F609" s="216">
        <v>0</v>
      </c>
      <c r="G609" s="198">
        <f>Distt.Minor!G244</f>
        <v>24480879</v>
      </c>
      <c r="H609" s="216">
        <v>0</v>
      </c>
    </row>
    <row r="610" spans="1:8" s="281" customFormat="1" ht="17.100000000000001" customHeight="1" x14ac:dyDescent="0.2">
      <c r="A610" s="471">
        <v>15</v>
      </c>
      <c r="B610" s="666" t="s">
        <v>251</v>
      </c>
      <c r="C610" s="63">
        <v>0</v>
      </c>
      <c r="D610" s="217">
        <v>0</v>
      </c>
      <c r="E610" s="216">
        <v>0</v>
      </c>
      <c r="F610" s="217">
        <v>0</v>
      </c>
      <c r="G610" s="217">
        <f>Distt.Minor!G254+0.09999</f>
        <v>19651697.099989999</v>
      </c>
      <c r="H610" s="217">
        <v>0</v>
      </c>
    </row>
    <row r="611" spans="1:8" s="281" customFormat="1" ht="17.100000000000001" customHeight="1" x14ac:dyDescent="0.2">
      <c r="A611" s="471">
        <v>16</v>
      </c>
      <c r="B611" s="666" t="s">
        <v>252</v>
      </c>
      <c r="C611" s="143">
        <v>0</v>
      </c>
      <c r="D611" s="216">
        <v>0</v>
      </c>
      <c r="E611" s="216">
        <v>0</v>
      </c>
      <c r="F611" s="216">
        <v>0</v>
      </c>
      <c r="G611" s="198">
        <f>Distt.Minor!G303</f>
        <v>320418165</v>
      </c>
      <c r="H611" s="216">
        <v>0</v>
      </c>
    </row>
    <row r="612" spans="1:8" s="281" customFormat="1" ht="17.100000000000001" customHeight="1" x14ac:dyDescent="0.2">
      <c r="A612" s="471">
        <v>17</v>
      </c>
      <c r="B612" s="666" t="s">
        <v>272</v>
      </c>
      <c r="C612" s="143">
        <v>0</v>
      </c>
      <c r="D612" s="216">
        <v>0</v>
      </c>
      <c r="E612" s="216">
        <v>0</v>
      </c>
      <c r="F612" s="216">
        <v>0</v>
      </c>
      <c r="G612" s="216">
        <f>Distt.Minor!G276</f>
        <v>280977437</v>
      </c>
      <c r="H612" s="216">
        <v>0</v>
      </c>
    </row>
    <row r="613" spans="1:8" s="281" customFormat="1" ht="17.100000000000001" customHeight="1" x14ac:dyDescent="0.2">
      <c r="A613" s="471">
        <v>18</v>
      </c>
      <c r="B613" s="666" t="s">
        <v>255</v>
      </c>
      <c r="C613" s="63">
        <v>0</v>
      </c>
      <c r="D613" s="216">
        <v>0</v>
      </c>
      <c r="E613" s="221">
        <v>0</v>
      </c>
      <c r="F613" s="228">
        <v>0</v>
      </c>
      <c r="G613" s="217">
        <f>Distt.Minor!G317</f>
        <v>158667357</v>
      </c>
      <c r="H613" s="217">
        <v>0</v>
      </c>
    </row>
    <row r="614" spans="1:8" s="281" customFormat="1" ht="17.100000000000001" customHeight="1" x14ac:dyDescent="0.2">
      <c r="A614" s="471">
        <v>19</v>
      </c>
      <c r="B614" s="666" t="s">
        <v>286</v>
      </c>
      <c r="C614" s="63">
        <v>0</v>
      </c>
      <c r="D614" s="216">
        <v>0</v>
      </c>
      <c r="E614" s="216">
        <v>0</v>
      </c>
      <c r="F614" s="217">
        <v>0</v>
      </c>
      <c r="G614" s="217">
        <f>Distt.Minor!G332</f>
        <v>67820000</v>
      </c>
      <c r="H614" s="217">
        <v>0</v>
      </c>
    </row>
    <row r="615" spans="1:8" s="281" customFormat="1" ht="17.100000000000001" customHeight="1" x14ac:dyDescent="0.2">
      <c r="A615" s="471">
        <v>20</v>
      </c>
      <c r="B615" s="666" t="s">
        <v>256</v>
      </c>
      <c r="C615" s="63">
        <v>0</v>
      </c>
      <c r="D615" s="216">
        <v>0</v>
      </c>
      <c r="E615" s="216">
        <v>0</v>
      </c>
      <c r="F615" s="217">
        <v>0</v>
      </c>
      <c r="G615" s="217">
        <f>Distt.Minor!G351</f>
        <v>285830000</v>
      </c>
      <c r="H615" s="217">
        <v>0</v>
      </c>
    </row>
    <row r="616" spans="1:8" s="281" customFormat="1" ht="17.100000000000001" customHeight="1" x14ac:dyDescent="0.2">
      <c r="A616" s="471">
        <v>21</v>
      </c>
      <c r="B616" s="666" t="s">
        <v>257</v>
      </c>
      <c r="C616" s="63">
        <v>0</v>
      </c>
      <c r="D616" s="217">
        <v>0</v>
      </c>
      <c r="E616" s="216">
        <v>0</v>
      </c>
      <c r="F616" s="217">
        <v>0</v>
      </c>
      <c r="G616" s="217">
        <f>Distt.Minor!G368</f>
        <v>228150893</v>
      </c>
      <c r="H616" s="217">
        <v>0</v>
      </c>
    </row>
    <row r="617" spans="1:8" s="281" customFormat="1" ht="17.100000000000001" customHeight="1" x14ac:dyDescent="0.2">
      <c r="A617" s="471">
        <v>22</v>
      </c>
      <c r="B617" s="666" t="s">
        <v>273</v>
      </c>
      <c r="C617" s="63">
        <v>0</v>
      </c>
      <c r="D617" s="216">
        <v>0</v>
      </c>
      <c r="E617" s="229">
        <v>0</v>
      </c>
      <c r="F617" s="376">
        <v>0</v>
      </c>
      <c r="G617" s="370">
        <f>Distt.Minor!G386</f>
        <v>56879819</v>
      </c>
      <c r="H617" s="217">
        <v>0</v>
      </c>
    </row>
    <row r="618" spans="1:8" s="281" customFormat="1" ht="17.100000000000001" customHeight="1" x14ac:dyDescent="0.2">
      <c r="A618" s="471">
        <v>23</v>
      </c>
      <c r="B618" s="666" t="s">
        <v>274</v>
      </c>
      <c r="C618" s="288">
        <v>0</v>
      </c>
      <c r="D618" s="223">
        <v>0</v>
      </c>
      <c r="E618" s="223">
        <v>0</v>
      </c>
      <c r="F618" s="375">
        <v>0</v>
      </c>
      <c r="G618" s="375">
        <f>Distt.Minor!G399</f>
        <v>357242268</v>
      </c>
      <c r="H618" s="376">
        <v>0</v>
      </c>
    </row>
    <row r="619" spans="1:8" s="281" customFormat="1" ht="17.100000000000001" customHeight="1" x14ac:dyDescent="0.2">
      <c r="A619" s="471">
        <v>24</v>
      </c>
      <c r="B619" s="666" t="s">
        <v>259</v>
      </c>
      <c r="C619" s="143">
        <v>0</v>
      </c>
      <c r="D619" s="216">
        <v>0</v>
      </c>
      <c r="E619" s="216">
        <v>0</v>
      </c>
      <c r="F619" s="216">
        <v>0</v>
      </c>
      <c r="G619" s="473">
        <f>Distt.Minor!G419</f>
        <v>1011938333</v>
      </c>
      <c r="H619" s="216">
        <v>0</v>
      </c>
    </row>
    <row r="620" spans="1:8" s="281" customFormat="1" ht="17.100000000000001" customHeight="1" x14ac:dyDescent="0.2">
      <c r="A620" s="471">
        <v>25</v>
      </c>
      <c r="B620" s="666" t="s">
        <v>260</v>
      </c>
      <c r="C620" s="63">
        <v>0</v>
      </c>
      <c r="D620" s="216">
        <v>0</v>
      </c>
      <c r="E620" s="216">
        <v>0</v>
      </c>
      <c r="F620" s="217">
        <v>0</v>
      </c>
      <c r="G620" s="217">
        <f>Distt.Minor!G439</f>
        <v>477721172</v>
      </c>
      <c r="H620" s="382">
        <v>0</v>
      </c>
    </row>
    <row r="621" spans="1:8" s="281" customFormat="1" ht="17.100000000000001" customHeight="1" x14ac:dyDescent="0.2">
      <c r="A621" s="471">
        <v>26</v>
      </c>
      <c r="B621" s="666" t="s">
        <v>261</v>
      </c>
      <c r="C621" s="63">
        <v>0</v>
      </c>
      <c r="D621" s="216">
        <v>0</v>
      </c>
      <c r="E621" s="216">
        <v>0</v>
      </c>
      <c r="F621" s="217">
        <v>0</v>
      </c>
      <c r="G621" s="217">
        <f>Distt.Minor!G458</f>
        <v>10312018</v>
      </c>
      <c r="H621" s="217">
        <v>0</v>
      </c>
    </row>
    <row r="622" spans="1:8" s="281" customFormat="1" ht="17.100000000000001" customHeight="1" x14ac:dyDescent="0.2">
      <c r="A622" s="471">
        <v>27</v>
      </c>
      <c r="B622" s="666" t="s">
        <v>275</v>
      </c>
      <c r="C622" s="63">
        <v>0</v>
      </c>
      <c r="D622" s="216">
        <v>0</v>
      </c>
      <c r="E622" s="216">
        <v>0</v>
      </c>
      <c r="F622" s="217">
        <v>0</v>
      </c>
      <c r="G622" s="305">
        <f>Distt.Minor!G483</f>
        <v>58041902</v>
      </c>
      <c r="H622" s="305">
        <v>0</v>
      </c>
    </row>
    <row r="623" spans="1:8" s="281" customFormat="1" ht="17.100000000000001" customHeight="1" x14ac:dyDescent="0.2">
      <c r="A623" s="471">
        <v>28</v>
      </c>
      <c r="B623" s="667" t="s">
        <v>276</v>
      </c>
      <c r="C623" s="63">
        <v>0</v>
      </c>
      <c r="D623" s="217">
        <v>0</v>
      </c>
      <c r="E623" s="216">
        <v>0</v>
      </c>
      <c r="F623" s="467">
        <v>0</v>
      </c>
      <c r="G623" s="626">
        <f>Distt.Minor!G499</f>
        <v>16864874</v>
      </c>
      <c r="H623" s="228">
        <v>0</v>
      </c>
    </row>
    <row r="624" spans="1:8" s="281" customFormat="1" ht="17.100000000000001" customHeight="1" x14ac:dyDescent="0.2">
      <c r="A624" s="471">
        <v>29</v>
      </c>
      <c r="B624" s="666" t="s">
        <v>277</v>
      </c>
      <c r="C624" s="63">
        <v>0</v>
      </c>
      <c r="D624" s="216">
        <v>0</v>
      </c>
      <c r="E624" s="216">
        <v>0</v>
      </c>
      <c r="F624" s="217">
        <v>0</v>
      </c>
      <c r="G624" s="217">
        <f>Distt.Minor!G508</f>
        <v>31277423</v>
      </c>
      <c r="H624" s="217">
        <v>0</v>
      </c>
    </row>
    <row r="625" spans="1:10" s="281" customFormat="1" ht="17.100000000000001" customHeight="1" x14ac:dyDescent="0.2">
      <c r="A625" s="471">
        <v>30</v>
      </c>
      <c r="B625" s="666" t="s">
        <v>264</v>
      </c>
      <c r="C625" s="63">
        <v>0</v>
      </c>
      <c r="D625" s="217">
        <v>0</v>
      </c>
      <c r="E625" s="217">
        <v>0</v>
      </c>
      <c r="F625" s="217">
        <v>0</v>
      </c>
      <c r="G625" s="252">
        <f>Distt.Minor!G530</f>
        <v>137708573</v>
      </c>
      <c r="H625" s="252">
        <v>0</v>
      </c>
    </row>
    <row r="626" spans="1:10" s="281" customFormat="1" ht="17.100000000000001" customHeight="1" x14ac:dyDescent="0.2">
      <c r="A626" s="471">
        <v>31</v>
      </c>
      <c r="B626" s="666" t="s">
        <v>265</v>
      </c>
      <c r="C626" s="203">
        <v>0</v>
      </c>
      <c r="D626" s="305">
        <v>0</v>
      </c>
      <c r="E626" s="305">
        <v>0</v>
      </c>
      <c r="F626" s="305">
        <v>0</v>
      </c>
      <c r="G626" s="305">
        <f>Distt.Minor!G547</f>
        <v>9122510</v>
      </c>
      <c r="H626" s="144">
        <v>0</v>
      </c>
    </row>
    <row r="627" spans="1:10" s="281" customFormat="1" ht="17.100000000000001" customHeight="1" x14ac:dyDescent="0.2">
      <c r="A627" s="471">
        <v>32</v>
      </c>
      <c r="B627" s="666" t="s">
        <v>278</v>
      </c>
      <c r="C627" s="203">
        <v>0</v>
      </c>
      <c r="D627" s="305">
        <v>0</v>
      </c>
      <c r="E627" s="219">
        <v>0</v>
      </c>
      <c r="F627" s="305">
        <v>0</v>
      </c>
      <c r="G627" s="305">
        <f>Distt.Minor!G564</f>
        <v>0</v>
      </c>
      <c r="H627" s="305">
        <v>0</v>
      </c>
    </row>
    <row r="628" spans="1:10" s="281" customFormat="1" ht="17.100000000000001" customHeight="1" x14ac:dyDescent="0.2">
      <c r="A628" s="471">
        <v>33</v>
      </c>
      <c r="B628" s="666" t="s">
        <v>267</v>
      </c>
      <c r="C628" s="63">
        <v>0</v>
      </c>
      <c r="D628" s="216">
        <v>0</v>
      </c>
      <c r="E628" s="216">
        <v>0</v>
      </c>
      <c r="F628" s="217">
        <v>0</v>
      </c>
      <c r="G628" s="217">
        <f>Distt.Minor!G592</f>
        <v>423238664</v>
      </c>
      <c r="H628" s="217">
        <v>0</v>
      </c>
    </row>
    <row r="629" spans="1:10" ht="17.100000000000001" customHeight="1" x14ac:dyDescent="0.25">
      <c r="A629" s="1306" t="s">
        <v>50</v>
      </c>
      <c r="B629" s="1307"/>
      <c r="C629" s="259"/>
      <c r="D629" s="406"/>
      <c r="E629" s="259"/>
      <c r="F629" s="259"/>
      <c r="G629" s="259">
        <f>SUM(G596:G628)</f>
        <v>5657081385.0999899</v>
      </c>
      <c r="H629" s="259"/>
      <c r="J629" s="650"/>
    </row>
    <row r="630" spans="1:10" x14ac:dyDescent="0.25">
      <c r="A630" s="120"/>
      <c r="B630" s="120"/>
      <c r="C630" s="120"/>
      <c r="D630" s="120"/>
      <c r="E630" s="120"/>
      <c r="F630" s="120"/>
      <c r="G630" s="120"/>
      <c r="H630" s="120"/>
      <c r="J630" s="842"/>
    </row>
    <row r="631" spans="1:10" ht="30.75" x14ac:dyDescent="0.25">
      <c r="A631" s="1139" t="s">
        <v>0</v>
      </c>
      <c r="B631" s="1139"/>
      <c r="C631" s="1139"/>
      <c r="D631" s="1139"/>
      <c r="E631" s="1139"/>
      <c r="F631" s="1139"/>
      <c r="G631" s="1139"/>
      <c r="H631" s="1139"/>
    </row>
    <row r="632" spans="1:10" ht="25.5" x14ac:dyDescent="0.25">
      <c r="A632" s="1140" t="s">
        <v>156</v>
      </c>
      <c r="B632" s="1140"/>
      <c r="C632" s="1140"/>
      <c r="D632" s="1140"/>
      <c r="E632" s="1140"/>
      <c r="F632" s="1140"/>
      <c r="G632" s="1140"/>
      <c r="H632" s="1140"/>
    </row>
    <row r="633" spans="1:10" ht="22.5" x14ac:dyDescent="0.25">
      <c r="A633" s="1141" t="str">
        <f>A3</f>
        <v>Financial Year 2023-24</v>
      </c>
      <c r="B633" s="1141"/>
      <c r="C633" s="1141"/>
      <c r="D633" s="1141"/>
      <c r="E633" s="1141"/>
      <c r="F633" s="1141"/>
      <c r="G633" s="1141"/>
      <c r="H633" s="1141"/>
    </row>
    <row r="634" spans="1:10" ht="23.25" x14ac:dyDescent="0.35">
      <c r="A634" s="45"/>
      <c r="B634" s="45"/>
      <c r="C634" s="45"/>
      <c r="D634" s="45"/>
      <c r="E634" s="45"/>
      <c r="F634" s="45"/>
      <c r="G634" s="45"/>
      <c r="H634" s="45"/>
    </row>
    <row r="635" spans="1:10" ht="17.100000000000001" customHeight="1" x14ac:dyDescent="0.25">
      <c r="A635" s="1127" t="s">
        <v>2</v>
      </c>
      <c r="B635" s="1129" t="s">
        <v>382</v>
      </c>
      <c r="C635" s="131" t="s">
        <v>4</v>
      </c>
      <c r="D635" s="131" t="s">
        <v>5</v>
      </c>
      <c r="E635" s="131" t="s">
        <v>6</v>
      </c>
      <c r="F635" s="131" t="s">
        <v>7</v>
      </c>
      <c r="G635" s="131" t="s">
        <v>8</v>
      </c>
      <c r="H635" s="131" t="s">
        <v>9</v>
      </c>
    </row>
    <row r="636" spans="1:10" ht="17.100000000000001" customHeight="1" x14ac:dyDescent="0.25">
      <c r="A636" s="1151"/>
      <c r="B636" s="1152"/>
      <c r="C636" s="165" t="s">
        <v>10</v>
      </c>
      <c r="D636" s="165" t="s">
        <v>52</v>
      </c>
      <c r="E636" s="165" t="s">
        <v>79</v>
      </c>
      <c r="F636" s="537" t="s">
        <v>80</v>
      </c>
      <c r="G636" s="537" t="s">
        <v>80</v>
      </c>
      <c r="H636" s="165" t="s">
        <v>13</v>
      </c>
    </row>
    <row r="637" spans="1:10" s="281" customFormat="1" ht="17.100000000000001" customHeight="1" x14ac:dyDescent="0.2">
      <c r="A637" s="550">
        <v>1</v>
      </c>
      <c r="B637" s="551" t="s">
        <v>23</v>
      </c>
      <c r="C637" s="540">
        <f>'Minor Minerals'!C11</f>
        <v>214</v>
      </c>
      <c r="D637" s="540">
        <f>'Minor Minerals'!D11</f>
        <v>5443.13</v>
      </c>
      <c r="E637" s="540">
        <f>'Minor Minerals'!E11</f>
        <v>8107894.9100000001</v>
      </c>
      <c r="F637" s="540">
        <f>'Minor Minerals'!F11</f>
        <v>5675517880.3999996</v>
      </c>
      <c r="G637" s="540">
        <f>'Minor Minerals'!G11</f>
        <v>649499353</v>
      </c>
      <c r="H637" s="540">
        <f>'Minor Minerals'!H11</f>
        <v>1111</v>
      </c>
    </row>
    <row r="638" spans="1:10" s="281" customFormat="1" ht="17.100000000000001" customHeight="1" x14ac:dyDescent="0.2">
      <c r="A638" s="550">
        <v>2</v>
      </c>
      <c r="B638" s="551" t="s">
        <v>24</v>
      </c>
      <c r="C638" s="540">
        <f>'Minor Minerals'!C18</f>
        <v>1</v>
      </c>
      <c r="D638" s="540">
        <f>'Minor Minerals'!D18</f>
        <v>31</v>
      </c>
      <c r="E638" s="540">
        <f>'Minor Minerals'!E18</f>
        <v>6002</v>
      </c>
      <c r="F638" s="540">
        <f>'Minor Minerals'!F18</f>
        <v>7802600</v>
      </c>
      <c r="G638" s="540">
        <f>'Minor Minerals'!G18</f>
        <v>755260</v>
      </c>
      <c r="H638" s="540">
        <f>'Minor Minerals'!H18</f>
        <v>9</v>
      </c>
    </row>
    <row r="639" spans="1:10" s="281" customFormat="1" ht="17.100000000000001" customHeight="1" x14ac:dyDescent="0.2">
      <c r="A639" s="550">
        <v>3</v>
      </c>
      <c r="B639" s="168" t="s">
        <v>53</v>
      </c>
      <c r="C639" s="170">
        <f>'Minor Minerals'!C26</f>
        <v>48</v>
      </c>
      <c r="D639" s="170">
        <f>'Minor Minerals'!D26</f>
        <v>103.13999999999999</v>
      </c>
      <c r="E639" s="170">
        <f>'Minor Minerals'!E26</f>
        <v>455672</v>
      </c>
      <c r="F639" s="170">
        <f>'Minor Minerals'!F26</f>
        <v>296303754</v>
      </c>
      <c r="G639" s="170">
        <f>'Minor Minerals'!G26</f>
        <v>91325959</v>
      </c>
      <c r="H639" s="170">
        <f>'Minor Minerals'!H26</f>
        <v>365</v>
      </c>
    </row>
    <row r="640" spans="1:10" s="281" customFormat="1" ht="17.100000000000001" customHeight="1" x14ac:dyDescent="0.2">
      <c r="A640" s="550">
        <v>4</v>
      </c>
      <c r="B640" s="168" t="s">
        <v>54</v>
      </c>
      <c r="C640" s="167">
        <f>'Minor Minerals'!C56</f>
        <v>38</v>
      </c>
      <c r="D640" s="167">
        <f>'Minor Minerals'!D56</f>
        <v>511.61</v>
      </c>
      <c r="E640" s="167">
        <f>'Minor Minerals'!E56</f>
        <v>14222085.671209676</v>
      </c>
      <c r="F640" s="167">
        <f>'Minor Minerals'!F56</f>
        <v>3241270499.7540321</v>
      </c>
      <c r="G640" s="167">
        <f>'Minor Minerals'!G56</f>
        <v>499365868</v>
      </c>
      <c r="H640" s="167">
        <f>'Minor Minerals'!H56</f>
        <v>16544</v>
      </c>
    </row>
    <row r="641" spans="1:8" s="281" customFormat="1" ht="17.100000000000001" customHeight="1" x14ac:dyDescent="0.2">
      <c r="A641" s="550">
        <v>5</v>
      </c>
      <c r="B641" s="168" t="s">
        <v>25</v>
      </c>
      <c r="C641" s="167">
        <f>'Minor Minerals'!C70</f>
        <v>36</v>
      </c>
      <c r="D641" s="167">
        <f>'Minor Minerals'!D70</f>
        <v>530.72749999999996</v>
      </c>
      <c r="E641" s="167">
        <f>'Minor Minerals'!E70</f>
        <v>94517.7396226415</v>
      </c>
      <c r="F641" s="167">
        <f>'Minor Minerals'!F70</f>
        <v>80340878.315647244</v>
      </c>
      <c r="G641" s="167">
        <f>'Minor Minerals'!G70</f>
        <v>20471602</v>
      </c>
      <c r="H641" s="167">
        <f>'Minor Minerals'!H70</f>
        <v>264</v>
      </c>
    </row>
    <row r="642" spans="1:8" s="281" customFormat="1" ht="17.100000000000001" customHeight="1" x14ac:dyDescent="0.2">
      <c r="A642" s="550">
        <v>6</v>
      </c>
      <c r="B642" s="168" t="s">
        <v>171</v>
      </c>
      <c r="C642" s="167">
        <f>'Minor Minerals'!C90</f>
        <v>476</v>
      </c>
      <c r="D642" s="167">
        <f>'Minor Minerals'!D90</f>
        <v>4677.0889999999999</v>
      </c>
      <c r="E642" s="167">
        <f>'Minor Minerals'!E90</f>
        <v>5933197.9900000002</v>
      </c>
      <c r="F642" s="167">
        <f>'Minor Minerals'!F90</f>
        <v>2603616938.5429964</v>
      </c>
      <c r="G642" s="167">
        <f>'Minor Minerals'!G90</f>
        <v>346368558</v>
      </c>
      <c r="H642" s="167">
        <f>'Minor Minerals'!H90</f>
        <v>2864</v>
      </c>
    </row>
    <row r="643" spans="1:8" s="281" customFormat="1" ht="17.100000000000001" customHeight="1" x14ac:dyDescent="0.2">
      <c r="A643" s="550">
        <v>7</v>
      </c>
      <c r="B643" s="168" t="s">
        <v>55</v>
      </c>
      <c r="C643" s="167">
        <f>'Minor Minerals'!C97</f>
        <v>1</v>
      </c>
      <c r="D643" s="167">
        <f>'Minor Minerals'!D97</f>
        <v>0.71</v>
      </c>
      <c r="E643" s="167">
        <f>'Minor Minerals'!E97</f>
        <v>196</v>
      </c>
      <c r="F643" s="167">
        <f>'Minor Minerals'!F97</f>
        <v>24154</v>
      </c>
      <c r="G643" s="167">
        <f>'Minor Minerals'!G97</f>
        <v>21566</v>
      </c>
      <c r="H643" s="167">
        <f>'Minor Minerals'!H97</f>
        <v>5</v>
      </c>
    </row>
    <row r="644" spans="1:8" s="281" customFormat="1" ht="17.100000000000001" customHeight="1" x14ac:dyDescent="0.2">
      <c r="A644" s="550">
        <v>8</v>
      </c>
      <c r="B644" s="168" t="s">
        <v>56</v>
      </c>
      <c r="C644" s="167">
        <f>'Minor Minerals'!C104</f>
        <v>32</v>
      </c>
      <c r="D644" s="167">
        <f>'Minor Minerals'!D104</f>
        <v>35.130000000000003</v>
      </c>
      <c r="E644" s="167">
        <f>'Minor Minerals'!E104</f>
        <v>64531</v>
      </c>
      <c r="F644" s="167">
        <f>'Minor Minerals'!F104</f>
        <v>67585140</v>
      </c>
      <c r="G644" s="167">
        <f>'Minor Minerals'!G104</f>
        <v>11437870</v>
      </c>
      <c r="H644" s="167">
        <f>'Minor Minerals'!H104</f>
        <v>180</v>
      </c>
    </row>
    <row r="645" spans="1:8" s="281" customFormat="1" ht="17.100000000000001" customHeight="1" x14ac:dyDescent="0.2">
      <c r="A645" s="550">
        <v>9</v>
      </c>
      <c r="B645" s="168" t="s">
        <v>27</v>
      </c>
      <c r="C645" s="167">
        <f>'Minor Minerals'!C118</f>
        <v>57</v>
      </c>
      <c r="D645" s="167">
        <f>'Minor Minerals'!D118</f>
        <v>1649.16</v>
      </c>
      <c r="E645" s="167">
        <f>'Minor Minerals'!E118</f>
        <v>2042776.9300000002</v>
      </c>
      <c r="F645" s="167">
        <f>'Minor Minerals'!F118</f>
        <v>3234958067</v>
      </c>
      <c r="G645" s="167">
        <f>'Minor Minerals'!G118</f>
        <v>167551334.18000001</v>
      </c>
      <c r="H645" s="167">
        <f>'Minor Minerals'!H118</f>
        <v>632</v>
      </c>
    </row>
    <row r="646" spans="1:8" s="281" customFormat="1" ht="17.100000000000001" customHeight="1" x14ac:dyDescent="0.2">
      <c r="A646" s="550">
        <v>10</v>
      </c>
      <c r="B646" s="168" t="s">
        <v>41</v>
      </c>
      <c r="C646" s="167">
        <f>'Minor Minerals'!C139</f>
        <v>2055</v>
      </c>
      <c r="D646" s="167">
        <f>'Minor Minerals'!D139</f>
        <v>27173.141799999998</v>
      </c>
      <c r="E646" s="167">
        <f>'Minor Minerals'!E139</f>
        <v>15230569</v>
      </c>
      <c r="F646" s="167">
        <f>'Minor Minerals'!F139</f>
        <v>8453853133.9007454</v>
      </c>
      <c r="G646" s="167">
        <f>'Minor Minerals'!G139</f>
        <v>1339029155</v>
      </c>
      <c r="H646" s="167">
        <f>'Minor Minerals'!H139</f>
        <v>8687</v>
      </c>
    </row>
    <row r="647" spans="1:8" s="281" customFormat="1" ht="17.100000000000001" customHeight="1" x14ac:dyDescent="0.2">
      <c r="A647" s="550">
        <v>11</v>
      </c>
      <c r="B647" s="168" t="s">
        <v>28</v>
      </c>
      <c r="C647" s="167">
        <f>'Minor Minerals'!C146</f>
        <v>3</v>
      </c>
      <c r="D647" s="167">
        <f>'Minor Minerals'!D146</f>
        <v>59.987299999999998</v>
      </c>
      <c r="E647" s="167">
        <f>'Minor Minerals'!E146</f>
        <v>750</v>
      </c>
      <c r="F647" s="167">
        <f>'Minor Minerals'!F146</f>
        <v>637500</v>
      </c>
      <c r="G647" s="167">
        <f>'Minor Minerals'!G146</f>
        <v>60000</v>
      </c>
      <c r="H647" s="167">
        <f>'Minor Minerals'!H146</f>
        <v>40</v>
      </c>
    </row>
    <row r="648" spans="1:8" s="281" customFormat="1" ht="17.100000000000001" customHeight="1" x14ac:dyDescent="0.2">
      <c r="A648" s="550">
        <v>12</v>
      </c>
      <c r="B648" s="168" t="s">
        <v>57</v>
      </c>
      <c r="C648" s="167">
        <f>'Minor Minerals'!C157</f>
        <v>17</v>
      </c>
      <c r="D648" s="167">
        <f>'Minor Minerals'!D157</f>
        <v>198.42999999999998</v>
      </c>
      <c r="E648" s="167">
        <f>'Minor Minerals'!E157</f>
        <v>23561</v>
      </c>
      <c r="F648" s="167">
        <f>'Minor Minerals'!F157</f>
        <v>14687356</v>
      </c>
      <c r="G648" s="167">
        <f>'Minor Minerals'!G157</f>
        <v>5121953</v>
      </c>
      <c r="H648" s="167">
        <f>'Minor Minerals'!H157</f>
        <v>36</v>
      </c>
    </row>
    <row r="649" spans="1:8" s="281" customFormat="1" ht="17.100000000000001" customHeight="1" x14ac:dyDescent="0.2">
      <c r="A649" s="550">
        <v>13</v>
      </c>
      <c r="B649" s="168" t="s">
        <v>58</v>
      </c>
      <c r="C649" s="167">
        <f>'Minor Minerals'!C199</f>
        <v>2422</v>
      </c>
      <c r="D649" s="167">
        <f>'Minor Minerals'!D199</f>
        <v>5058.7700000000013</v>
      </c>
      <c r="E649" s="167">
        <f>'Minor Minerals'!E199</f>
        <v>10906415.589354837</v>
      </c>
      <c r="F649" s="167">
        <f>'Minor Minerals'!F199</f>
        <v>23302929007.612904</v>
      </c>
      <c r="G649" s="167">
        <f>'Minor Minerals'!G199</f>
        <v>3331056515</v>
      </c>
      <c r="H649" s="167">
        <f>'Minor Minerals'!H199</f>
        <v>13929</v>
      </c>
    </row>
    <row r="650" spans="1:8" s="281" customFormat="1" ht="17.100000000000001" customHeight="1" x14ac:dyDescent="0.2">
      <c r="A650" s="550">
        <v>14</v>
      </c>
      <c r="B650" s="168" t="s">
        <v>31</v>
      </c>
      <c r="C650" s="167">
        <f>'Minor Minerals'!C213</f>
        <v>132</v>
      </c>
      <c r="D650" s="167">
        <f>'Minor Minerals'!D213</f>
        <v>9252.49</v>
      </c>
      <c r="E650" s="167">
        <f>'Minor Minerals'!E213</f>
        <v>6712208.79</v>
      </c>
      <c r="F650" s="167">
        <f>'Minor Minerals'!F213</f>
        <v>4863891572.1000004</v>
      </c>
      <c r="G650" s="167">
        <f>'Minor Minerals'!G213</f>
        <v>1260365963</v>
      </c>
      <c r="H650" s="167">
        <f>'Minor Minerals'!H213</f>
        <v>1485</v>
      </c>
    </row>
    <row r="651" spans="1:8" s="281" customFormat="1" ht="17.100000000000001" customHeight="1" x14ac:dyDescent="0.2">
      <c r="A651" s="550">
        <v>15</v>
      </c>
      <c r="B651" s="168" t="s">
        <v>32</v>
      </c>
      <c r="C651" s="167">
        <f>'Minor Minerals'!C165</f>
        <v>1</v>
      </c>
      <c r="D651" s="167">
        <f>'Minor Minerals'!D165</f>
        <v>24.5</v>
      </c>
      <c r="E651" s="167">
        <f>'Minor Minerals'!E165</f>
        <v>418</v>
      </c>
      <c r="F651" s="167">
        <f>'Minor Minerals'!F165</f>
        <v>104500</v>
      </c>
      <c r="G651" s="167">
        <f>'Minor Minerals'!G165</f>
        <v>12563</v>
      </c>
      <c r="H651" s="167">
        <f>'Minor Minerals'!H165</f>
        <v>4</v>
      </c>
    </row>
    <row r="652" spans="1:8" s="281" customFormat="1" ht="17.100000000000001" customHeight="1" x14ac:dyDescent="0.2">
      <c r="A652" s="550">
        <v>16</v>
      </c>
      <c r="B652" s="168" t="s">
        <v>399</v>
      </c>
      <c r="C652" s="167">
        <f>'Minor Minerals'!C220</f>
        <v>4</v>
      </c>
      <c r="D652" s="167">
        <f>'Minor Minerals'!D220</f>
        <v>13.865399999999999</v>
      </c>
      <c r="E652" s="167">
        <f>'Minor Minerals'!E220</f>
        <v>62227.520000000004</v>
      </c>
      <c r="F652" s="167">
        <f>'Minor Minerals'!F220</f>
        <v>23024682</v>
      </c>
      <c r="G652" s="167">
        <f>'Minor Minerals'!G220</f>
        <v>1050523</v>
      </c>
      <c r="H652" s="167">
        <f>'Minor Minerals'!H220</f>
        <v>105</v>
      </c>
    </row>
    <row r="653" spans="1:8" s="281" customFormat="1" ht="17.100000000000001" customHeight="1" x14ac:dyDescent="0.2">
      <c r="A653" s="550">
        <v>17</v>
      </c>
      <c r="B653" s="168" t="s">
        <v>59</v>
      </c>
      <c r="C653" s="170">
        <f>'Minor Minerals'!C267</f>
        <v>166</v>
      </c>
      <c r="D653" s="170">
        <f>'Minor Minerals'!D267</f>
        <v>65555.348799999992</v>
      </c>
      <c r="E653" s="170">
        <f>'Minor Minerals'!E267</f>
        <v>24929373.481111109</v>
      </c>
      <c r="F653" s="170">
        <f>'Minor Minerals'!F267</f>
        <v>12856435102.611111</v>
      </c>
      <c r="G653" s="170">
        <f>'Minor Minerals'!G267</f>
        <v>1884289371.5999999</v>
      </c>
      <c r="H653" s="170">
        <f>'Minor Minerals'!H267</f>
        <v>4255</v>
      </c>
    </row>
    <row r="654" spans="1:8" s="281" customFormat="1" ht="17.100000000000001" customHeight="1" x14ac:dyDescent="0.2">
      <c r="A654" s="550">
        <v>18</v>
      </c>
      <c r="B654" s="168" t="s">
        <v>60</v>
      </c>
      <c r="C654" s="170">
        <f>'Minor Minerals'!C293</f>
        <v>473</v>
      </c>
      <c r="D654" s="170">
        <f>'Minor Minerals'!D293</f>
        <v>11164.849999999999</v>
      </c>
      <c r="E654" s="170">
        <f>'Minor Minerals'!E293</f>
        <v>17656251.93</v>
      </c>
      <c r="F654" s="170">
        <f>'Minor Minerals'!F293</f>
        <v>6381479818</v>
      </c>
      <c r="G654" s="170">
        <f>'Minor Minerals'!G293</f>
        <v>1797756411.1199999</v>
      </c>
      <c r="H654" s="170">
        <f>'Minor Minerals'!H293</f>
        <v>4790</v>
      </c>
    </row>
    <row r="655" spans="1:8" s="281" customFormat="1" ht="17.100000000000001" customHeight="1" x14ac:dyDescent="0.2">
      <c r="A655" s="550">
        <v>19</v>
      </c>
      <c r="B655" s="168" t="s">
        <v>61</v>
      </c>
      <c r="C655" s="170">
        <f>'Minor Minerals'!C306</f>
        <v>325</v>
      </c>
      <c r="D655" s="170">
        <f>'Minor Minerals'!D306</f>
        <v>668.17000000000007</v>
      </c>
      <c r="E655" s="170">
        <f>'Minor Minerals'!E306</f>
        <v>2473975.7599999998</v>
      </c>
      <c r="F655" s="170">
        <f>'Minor Minerals'!F306</f>
        <v>2734518888</v>
      </c>
      <c r="G655" s="170">
        <f>'Minor Minerals'!G306</f>
        <v>677767348</v>
      </c>
      <c r="H655" s="170">
        <f>'Minor Minerals'!H306</f>
        <v>3943</v>
      </c>
    </row>
    <row r="656" spans="1:8" s="281" customFormat="1" ht="17.100000000000001" customHeight="1" x14ac:dyDescent="0.2">
      <c r="A656" s="550">
        <v>20</v>
      </c>
      <c r="B656" s="168" t="s">
        <v>62</v>
      </c>
      <c r="C656" s="172">
        <f>'Minor Minerals'!C339</f>
        <v>1683</v>
      </c>
      <c r="D656" s="172">
        <f>'Minor Minerals'!D339</f>
        <v>2894.2678000000005</v>
      </c>
      <c r="E656" s="172">
        <f>'Minor Minerals'!E339</f>
        <v>12189563.24</v>
      </c>
      <c r="F656" s="172">
        <f>'Minor Minerals'!F339</f>
        <v>23152765326</v>
      </c>
      <c r="G656" s="172">
        <f>'Minor Minerals'!G339</f>
        <v>3078766391</v>
      </c>
      <c r="H656" s="172">
        <f>'Minor Minerals'!H339</f>
        <v>25936</v>
      </c>
    </row>
    <row r="657" spans="1:8" s="281" customFormat="1" ht="17.100000000000001" customHeight="1" x14ac:dyDescent="0.2">
      <c r="A657" s="550">
        <v>21</v>
      </c>
      <c r="B657" s="168" t="s">
        <v>63</v>
      </c>
      <c r="C657" s="167">
        <f>'Minor Minerals'!C390</f>
        <v>6093</v>
      </c>
      <c r="D657" s="167">
        <f>'Minor Minerals'!D390</f>
        <v>6964.3207999999986</v>
      </c>
      <c r="E657" s="167">
        <f>'Minor Minerals'!E390</f>
        <v>153132870.38</v>
      </c>
      <c r="F657" s="167">
        <f>'Minor Minerals'!F390</f>
        <v>31677843228.460537</v>
      </c>
      <c r="G657" s="167">
        <f>'Minor Minerals'!G390</f>
        <v>6596107814.5</v>
      </c>
      <c r="H657" s="167">
        <f>'Minor Minerals'!H390</f>
        <v>61990</v>
      </c>
    </row>
    <row r="658" spans="1:8" s="281" customFormat="1" ht="17.100000000000001" customHeight="1" x14ac:dyDescent="0.2">
      <c r="A658" s="550">
        <v>22</v>
      </c>
      <c r="B658" s="168" t="s">
        <v>159</v>
      </c>
      <c r="C658" s="167">
        <f>'Minor Minerals'!C401</f>
        <v>45</v>
      </c>
      <c r="D658" s="167">
        <f>'Minor Minerals'!D401</f>
        <v>233.60999999999999</v>
      </c>
      <c r="E658" s="167">
        <f>'Minor Minerals'!E401</f>
        <v>23892</v>
      </c>
      <c r="F658" s="167">
        <f>'Minor Minerals'!F401</f>
        <v>45776400</v>
      </c>
      <c r="G658" s="167">
        <f>'Minor Minerals'!G401</f>
        <v>53427851</v>
      </c>
      <c r="H658" s="167">
        <f>'Minor Minerals'!H401</f>
        <v>310</v>
      </c>
    </row>
    <row r="659" spans="1:8" s="281" customFormat="1" ht="17.100000000000001" customHeight="1" x14ac:dyDescent="0.2">
      <c r="A659" s="550">
        <v>23</v>
      </c>
      <c r="B659" s="168" t="s">
        <v>64</v>
      </c>
      <c r="C659" s="167">
        <f>'Minor Minerals'!C408</f>
        <v>4</v>
      </c>
      <c r="D659" s="167">
        <f>'Minor Minerals'!D408</f>
        <v>972.17000000000007</v>
      </c>
      <c r="E659" s="167">
        <f>'Minor Minerals'!E408</f>
        <v>0</v>
      </c>
      <c r="F659" s="167">
        <f>'Minor Minerals'!F408</f>
        <v>0</v>
      </c>
      <c r="G659" s="167">
        <f>'Minor Minerals'!G408</f>
        <v>0</v>
      </c>
      <c r="H659" s="167">
        <f>'Minor Minerals'!H408</f>
        <v>0</v>
      </c>
    </row>
    <row r="660" spans="1:8" s="281" customFormat="1" ht="17.100000000000001" customHeight="1" x14ac:dyDescent="0.2">
      <c r="A660" s="550">
        <v>24</v>
      </c>
      <c r="B660" s="168" t="s">
        <v>65</v>
      </c>
      <c r="C660" s="167">
        <f>'Minor Minerals'!C435</f>
        <v>8</v>
      </c>
      <c r="D660" s="167">
        <f>'Minor Minerals'!D435</f>
        <v>7</v>
      </c>
      <c r="E660" s="167">
        <f>'Minor Minerals'!E435</f>
        <v>23778011.686000001</v>
      </c>
      <c r="F660" s="167">
        <f>'Minor Minerals'!F435</f>
        <v>649341576.46200001</v>
      </c>
      <c r="G660" s="167">
        <f>'Minor Minerals'!G435</f>
        <v>142932627</v>
      </c>
      <c r="H660" s="167">
        <f>'Minor Minerals'!H435</f>
        <v>4203</v>
      </c>
    </row>
    <row r="661" spans="1:8" s="281" customFormat="1" ht="17.100000000000001" customHeight="1" x14ac:dyDescent="0.2">
      <c r="A661" s="550">
        <v>25</v>
      </c>
      <c r="B661" s="169" t="s">
        <v>66</v>
      </c>
      <c r="C661" s="167">
        <f>'Minor Minerals'!C452</f>
        <v>26</v>
      </c>
      <c r="D661" s="167">
        <f>'Minor Minerals'!D452</f>
        <v>33</v>
      </c>
      <c r="E661" s="167">
        <f>'Minor Minerals'!E452</f>
        <v>571295.79</v>
      </c>
      <c r="F661" s="167">
        <f>'Minor Minerals'!F452</f>
        <v>118336301.2</v>
      </c>
      <c r="G661" s="167">
        <f>'Minor Minerals'!G452</f>
        <v>18237182</v>
      </c>
      <c r="H661" s="167">
        <f>'Minor Minerals'!H452</f>
        <v>300</v>
      </c>
    </row>
    <row r="662" spans="1:8" s="281" customFormat="1" ht="17.100000000000001" customHeight="1" x14ac:dyDescent="0.2">
      <c r="A662" s="550">
        <v>26</v>
      </c>
      <c r="B662" s="169" t="s">
        <v>38</v>
      </c>
      <c r="C662" s="167">
        <f>'Minor Minerals'!C470</f>
        <v>124</v>
      </c>
      <c r="D662" s="167">
        <f>'Minor Minerals'!D470</f>
        <v>1167.9943999999998</v>
      </c>
      <c r="E662" s="167">
        <f>'Minor Minerals'!E470</f>
        <v>3512849.52</v>
      </c>
      <c r="F662" s="167">
        <f>'Minor Minerals'!F470</f>
        <v>907886133.79340732</v>
      </c>
      <c r="G662" s="167">
        <f>'Minor Minerals'!G470</f>
        <v>120533301</v>
      </c>
      <c r="H662" s="167">
        <f>'Minor Minerals'!H470</f>
        <v>2969</v>
      </c>
    </row>
    <row r="663" spans="1:8" s="281" customFormat="1" ht="17.100000000000001" customHeight="1" x14ac:dyDescent="0.2">
      <c r="A663" s="550">
        <v>27</v>
      </c>
      <c r="B663" s="169" t="s">
        <v>67</v>
      </c>
      <c r="C663" s="167">
        <f>'Minor Minerals'!C489</f>
        <v>62</v>
      </c>
      <c r="D663" s="167">
        <f>'Minor Minerals'!D489</f>
        <v>1031.4100000000001</v>
      </c>
      <c r="E663" s="167">
        <f>'Minor Minerals'!E489</f>
        <v>909979.62</v>
      </c>
      <c r="F663" s="167">
        <f>'Minor Minerals'!F489</f>
        <v>603956371</v>
      </c>
      <c r="G663" s="167">
        <f>'Minor Minerals'!G489</f>
        <v>128007890</v>
      </c>
      <c r="H663" s="167">
        <f>'Minor Minerals'!H489</f>
        <v>1855</v>
      </c>
    </row>
    <row r="664" spans="1:8" s="281" customFormat="1" ht="17.100000000000001" customHeight="1" x14ac:dyDescent="0.2">
      <c r="A664" s="550">
        <v>28</v>
      </c>
      <c r="B664" s="169" t="s">
        <v>39</v>
      </c>
      <c r="C664" s="167">
        <f>'Minor Minerals'!C497</f>
        <v>17</v>
      </c>
      <c r="D664" s="167">
        <f>'Minor Minerals'!D497</f>
        <v>406.15</v>
      </c>
      <c r="E664" s="167">
        <f>'Minor Minerals'!E497</f>
        <v>147974.15702479339</v>
      </c>
      <c r="F664" s="167">
        <f>'Minor Minerals'!F497</f>
        <v>243250774.05558342</v>
      </c>
      <c r="G664" s="167">
        <f>'Minor Minerals'!G497</f>
        <v>43166104</v>
      </c>
      <c r="H664" s="167">
        <f>'Minor Minerals'!H497</f>
        <v>23</v>
      </c>
    </row>
    <row r="665" spans="1:8" s="281" customFormat="1" ht="17.100000000000001" customHeight="1" x14ac:dyDescent="0.2">
      <c r="A665" s="550">
        <v>29</v>
      </c>
      <c r="B665" s="168" t="s">
        <v>68</v>
      </c>
      <c r="C665" s="170">
        <f>'Minor Minerals'!C513</f>
        <v>33</v>
      </c>
      <c r="D665" s="170">
        <f>'Minor Minerals'!D513</f>
        <v>97.461700000000008</v>
      </c>
      <c r="E665" s="170">
        <f>'Minor Minerals'!E513</f>
        <v>159219.41</v>
      </c>
      <c r="F665" s="170">
        <f>'Minor Minerals'!F513</f>
        <v>38866433</v>
      </c>
      <c r="G665" s="170">
        <f>'Minor Minerals'!G513</f>
        <v>60855433</v>
      </c>
      <c r="H665" s="170">
        <f>'Minor Minerals'!H513</f>
        <v>92</v>
      </c>
    </row>
    <row r="666" spans="1:8" s="281" customFormat="1" ht="17.100000000000001" customHeight="1" x14ac:dyDescent="0.2">
      <c r="A666" s="550">
        <v>30</v>
      </c>
      <c r="B666" s="168" t="s">
        <v>40</v>
      </c>
      <c r="C666" s="170">
        <f>'Minor Minerals'!C543</f>
        <v>653</v>
      </c>
      <c r="D666" s="170">
        <f>'Minor Minerals'!D543</f>
        <v>3467.5</v>
      </c>
      <c r="E666" s="170">
        <f>'Minor Minerals'!E543</f>
        <v>4163495.05</v>
      </c>
      <c r="F666" s="170">
        <f>'Minor Minerals'!F543</f>
        <v>2258761539.6464043</v>
      </c>
      <c r="G666" s="170">
        <f>'Minor Minerals'!G543</f>
        <v>381050756</v>
      </c>
      <c r="H666" s="170">
        <f>'Minor Minerals'!H543</f>
        <v>14335</v>
      </c>
    </row>
    <row r="667" spans="1:8" s="281" customFormat="1" ht="17.100000000000001" customHeight="1" x14ac:dyDescent="0.2">
      <c r="A667" s="550">
        <v>31</v>
      </c>
      <c r="B667" s="169" t="s">
        <v>69</v>
      </c>
      <c r="C667" s="167">
        <f>'Minor Minerals'!C551</f>
        <v>174</v>
      </c>
      <c r="D667" s="167">
        <f>'Minor Minerals'!D551</f>
        <v>184.16</v>
      </c>
      <c r="E667" s="167">
        <f>'Minor Minerals'!E551</f>
        <v>2846413</v>
      </c>
      <c r="F667" s="167">
        <f>'Minor Minerals'!F551</f>
        <v>359325187</v>
      </c>
      <c r="G667" s="167">
        <f>'Minor Minerals'!G551</f>
        <v>133364288</v>
      </c>
      <c r="H667" s="167">
        <f>'Minor Minerals'!H551</f>
        <v>705</v>
      </c>
    </row>
    <row r="668" spans="1:8" s="281" customFormat="1" ht="17.100000000000001" customHeight="1" x14ac:dyDescent="0.2">
      <c r="A668" s="550">
        <v>32</v>
      </c>
      <c r="B668" s="168" t="s">
        <v>70</v>
      </c>
      <c r="C668" s="167">
        <f>'Minor Minerals'!C557</f>
        <v>0</v>
      </c>
      <c r="D668" s="167">
        <f>'Minor Minerals'!D557</f>
        <v>0</v>
      </c>
      <c r="E668" s="167">
        <f>'Minor Minerals'!E557</f>
        <v>0</v>
      </c>
      <c r="F668" s="167">
        <f>'Minor Minerals'!F557</f>
        <v>0</v>
      </c>
      <c r="G668" s="167">
        <f>'Minor Minerals'!G557</f>
        <v>0</v>
      </c>
      <c r="H668" s="167">
        <f>'Minor Minerals'!H557</f>
        <v>0</v>
      </c>
    </row>
    <row r="669" spans="1:8" s="281" customFormat="1" ht="17.100000000000001" customHeight="1" x14ac:dyDescent="0.2">
      <c r="A669" s="550">
        <v>33</v>
      </c>
      <c r="B669" s="168" t="s">
        <v>71</v>
      </c>
      <c r="C669" s="167">
        <f>'Minor Minerals'!C581</f>
        <v>1018</v>
      </c>
      <c r="D669" s="167">
        <f>'Minor Minerals'!D581</f>
        <v>4874.1432999999997</v>
      </c>
      <c r="E669" s="167">
        <f>'Minor Minerals'!E581</f>
        <v>12362139.210000001</v>
      </c>
      <c r="F669" s="167">
        <f>'Minor Minerals'!F581</f>
        <v>10591490732.5</v>
      </c>
      <c r="G669" s="167">
        <f>'Minor Minerals'!G581</f>
        <v>3266249252.1999998</v>
      </c>
      <c r="H669" s="167">
        <f>'Minor Minerals'!H581</f>
        <v>39333</v>
      </c>
    </row>
    <row r="670" spans="1:8" s="281" customFormat="1" ht="17.100000000000001" customHeight="1" x14ac:dyDescent="0.2">
      <c r="A670" s="550">
        <v>34</v>
      </c>
      <c r="B670" s="168" t="s">
        <v>72</v>
      </c>
      <c r="C670" s="167">
        <f>'Minor Minerals'!C589</f>
        <v>206</v>
      </c>
      <c r="D670" s="167">
        <f>'Minor Minerals'!D589</f>
        <v>261.93</v>
      </c>
      <c r="E670" s="167">
        <f>'Minor Minerals'!E589</f>
        <v>460471.46</v>
      </c>
      <c r="F670" s="167">
        <f>'Minor Minerals'!F589</f>
        <v>673739240</v>
      </c>
      <c r="G670" s="167">
        <f>'Minor Minerals'!G589</f>
        <v>156715716</v>
      </c>
      <c r="H670" s="167">
        <f>'Minor Minerals'!H589</f>
        <v>2328</v>
      </c>
    </row>
    <row r="671" spans="1:8" s="281" customFormat="1" ht="17.100000000000001" customHeight="1" x14ac:dyDescent="0.2">
      <c r="A671" s="550">
        <v>35</v>
      </c>
      <c r="B671" s="168" t="s">
        <v>44</v>
      </c>
      <c r="C671" s="167">
        <f>'Minor Minerals'!C613</f>
        <v>169</v>
      </c>
      <c r="D671" s="167">
        <f>'Minor Minerals'!D613</f>
        <v>2052.1039999999998</v>
      </c>
      <c r="E671" s="167">
        <f>'Minor Minerals'!E613</f>
        <v>3273226.7990909093</v>
      </c>
      <c r="F671" s="167">
        <f>'Minor Minerals'!F613</f>
        <v>1765961076.1272728</v>
      </c>
      <c r="G671" s="167">
        <f>'Minor Minerals'!G613</f>
        <v>577900257.45000005</v>
      </c>
      <c r="H671" s="167">
        <f>'Minor Minerals'!H613</f>
        <v>1191</v>
      </c>
    </row>
    <row r="672" spans="1:8" s="281" customFormat="1" ht="17.100000000000001" customHeight="1" x14ac:dyDescent="0.2">
      <c r="A672" s="550">
        <v>36</v>
      </c>
      <c r="B672" s="168" t="s">
        <v>73</v>
      </c>
      <c r="C672" s="167">
        <f>'Minor Minerals'!C622</f>
        <v>13</v>
      </c>
      <c r="D672" s="167">
        <f>'Minor Minerals'!D622</f>
        <v>33.15</v>
      </c>
      <c r="E672" s="167">
        <f>'Minor Minerals'!E622</f>
        <v>8424</v>
      </c>
      <c r="F672" s="167">
        <f>'Minor Minerals'!F622</f>
        <v>16849060</v>
      </c>
      <c r="G672" s="167">
        <f>'Minor Minerals'!G622</f>
        <v>2544267</v>
      </c>
      <c r="H672" s="167">
        <f>'Minor Minerals'!H622</f>
        <v>55</v>
      </c>
    </row>
    <row r="673" spans="1:15" s="281" customFormat="1" ht="17.100000000000001" customHeight="1" x14ac:dyDescent="0.2">
      <c r="A673" s="550">
        <v>37</v>
      </c>
      <c r="B673" s="168" t="s">
        <v>46</v>
      </c>
      <c r="C673" s="167">
        <f>'Minor Minerals'!C643</f>
        <v>176</v>
      </c>
      <c r="D673" s="167">
        <f>'Minor Minerals'!D643</f>
        <v>6362.85</v>
      </c>
      <c r="E673" s="167">
        <f>'Minor Minerals'!E643</f>
        <v>1526101.21</v>
      </c>
      <c r="F673" s="167">
        <f>'Minor Minerals'!F643</f>
        <v>2074851415</v>
      </c>
      <c r="G673" s="167">
        <f>'Minor Minerals'!G643</f>
        <v>262059663</v>
      </c>
      <c r="H673" s="167">
        <f>'Minor Minerals'!H643</f>
        <v>2265</v>
      </c>
    </row>
    <row r="674" spans="1:15" s="281" customFormat="1" ht="17.100000000000001" customHeight="1" x14ac:dyDescent="0.2">
      <c r="A674" s="167"/>
      <c r="B674" s="168" t="s">
        <v>75</v>
      </c>
      <c r="C674" s="167">
        <f>'Minor Minerals'!C703</f>
        <v>0</v>
      </c>
      <c r="D674" s="167">
        <f>'Minor Minerals'!D703</f>
        <v>0</v>
      </c>
      <c r="E674" s="167">
        <f>'Minor Minerals'!E703</f>
        <v>0</v>
      </c>
      <c r="F674" s="167">
        <f>'Minor Minerals'!F703</f>
        <v>0</v>
      </c>
      <c r="G674" s="167">
        <f>'Minor Minerals'!G703</f>
        <v>1149489469</v>
      </c>
      <c r="H674" s="167">
        <f>'Minor Minerals'!H703</f>
        <v>0</v>
      </c>
    </row>
    <row r="675" spans="1:15" s="281" customFormat="1" ht="17.100000000000001" customHeight="1" x14ac:dyDescent="0.2">
      <c r="A675" s="167"/>
      <c r="B675" s="168" t="s">
        <v>49</v>
      </c>
      <c r="C675" s="170">
        <f>'Minor Minerals'!C803</f>
        <v>0</v>
      </c>
      <c r="D675" s="170">
        <f>'Minor Minerals'!D803</f>
        <v>0</v>
      </c>
      <c r="E675" s="170">
        <f>'Minor Minerals'!E803</f>
        <v>0</v>
      </c>
      <c r="F675" s="170">
        <f>'Minor Minerals'!F803</f>
        <v>0</v>
      </c>
      <c r="G675" s="170">
        <f>'Minor Minerals'!G803</f>
        <v>5627037465</v>
      </c>
      <c r="H675" s="170">
        <f>'Minor Minerals'!H803</f>
        <v>0</v>
      </c>
    </row>
    <row r="676" spans="1:15" ht="17.100000000000001" customHeight="1" x14ac:dyDescent="0.25">
      <c r="A676" s="262"/>
      <c r="B676" s="549" t="s">
        <v>50</v>
      </c>
      <c r="C676" s="270">
        <f t="shared" ref="C676:H676" si="74">SUM(C637:C675)</f>
        <v>17005</v>
      </c>
      <c r="D676" s="270">
        <f t="shared" si="74"/>
        <v>163194.4718</v>
      </c>
      <c r="E676" s="270">
        <f t="shared" si="74"/>
        <v>327988551.84341395</v>
      </c>
      <c r="F676" s="270">
        <f t="shared" si="74"/>
        <v>149017982266.48264</v>
      </c>
      <c r="G676" s="270">
        <f>SUM(G637:G675)</f>
        <v>33881752900.050003</v>
      </c>
      <c r="H676" s="270">
        <f t="shared" si="74"/>
        <v>217138</v>
      </c>
      <c r="I676" s="649">
        <f>'Minor Minerals'!C804</f>
        <v>17005</v>
      </c>
      <c r="J676" s="649">
        <f>'Minor Minerals'!D804</f>
        <v>163194.4718</v>
      </c>
      <c r="K676" s="649">
        <f>'Minor Minerals'!E804</f>
        <v>327988551.84341395</v>
      </c>
      <c r="L676" s="649">
        <f>'Minor Minerals'!F804</f>
        <v>149017982266.48264</v>
      </c>
      <c r="M676" s="649">
        <f>'Minor Minerals'!G804</f>
        <v>33881752900.050003</v>
      </c>
      <c r="N676" s="649">
        <f>'Minor Minerals'!H804</f>
        <v>217138</v>
      </c>
    </row>
    <row r="677" spans="1:15" x14ac:dyDescent="0.25">
      <c r="A677" s="120"/>
      <c r="B677" s="120"/>
      <c r="C677" s="120"/>
      <c r="D677" s="120"/>
      <c r="E677" s="120"/>
      <c r="F677" s="120"/>
      <c r="G677" s="120"/>
      <c r="H677" s="120"/>
      <c r="J677" s="128">
        <f t="shared" ref="J677:O677" si="75">C676-I676</f>
        <v>0</v>
      </c>
      <c r="K677" s="128">
        <f t="shared" si="75"/>
        <v>0</v>
      </c>
      <c r="L677" s="128">
        <f t="shared" si="75"/>
        <v>0</v>
      </c>
      <c r="M677" s="128">
        <f t="shared" si="75"/>
        <v>0</v>
      </c>
      <c r="N677" s="128">
        <f t="shared" si="75"/>
        <v>0</v>
      </c>
      <c r="O677" s="128">
        <f t="shared" si="75"/>
        <v>0</v>
      </c>
    </row>
    <row r="678" spans="1:15" x14ac:dyDescent="0.25">
      <c r="B678" s="148"/>
    </row>
    <row r="679" spans="1:15" x14ac:dyDescent="0.25">
      <c r="B679" s="148" t="s">
        <v>423</v>
      </c>
      <c r="C679" s="128">
        <f>'Minor Minerals'!C804</f>
        <v>17005</v>
      </c>
      <c r="D679" s="128">
        <f>'Minor Minerals'!D804</f>
        <v>163194.4718</v>
      </c>
      <c r="E679" s="128">
        <f>'Minor Minerals'!E804</f>
        <v>327988551.84341395</v>
      </c>
      <c r="F679" s="128">
        <f>'Minor Minerals'!F804</f>
        <v>149017982266.48264</v>
      </c>
      <c r="G679" s="128">
        <f>'Minor Minerals'!G804</f>
        <v>33881752900.050003</v>
      </c>
      <c r="H679" s="128">
        <f>'Minor Minerals'!H804</f>
        <v>217138</v>
      </c>
    </row>
    <row r="681" spans="1:15" x14ac:dyDescent="0.25">
      <c r="B681" s="148" t="s">
        <v>424</v>
      </c>
      <c r="C681" s="128">
        <f>Distt.Minor!C634</f>
        <v>17005</v>
      </c>
      <c r="D681" s="128">
        <f>Distt.Minor!D634</f>
        <v>163194.47180000006</v>
      </c>
      <c r="E681" s="128">
        <f>Distt.Minor!E634</f>
        <v>327988551.84341395</v>
      </c>
      <c r="F681" s="128">
        <f>Distt.Minor!F634</f>
        <v>149017982266.48267</v>
      </c>
      <c r="G681" s="128">
        <f>Distt.Minor!G634</f>
        <v>33881752900.049999</v>
      </c>
      <c r="H681" s="128">
        <f>Distt.Minor!H634</f>
        <v>217138</v>
      </c>
    </row>
    <row r="683" spans="1:15" x14ac:dyDescent="0.25">
      <c r="C683" s="128">
        <f t="shared" ref="C683:H683" si="76">C679-C676</f>
        <v>0</v>
      </c>
      <c r="D683" s="128">
        <f t="shared" si="76"/>
        <v>0</v>
      </c>
      <c r="E683" s="128">
        <f t="shared" si="76"/>
        <v>0</v>
      </c>
      <c r="F683" s="128">
        <f t="shared" si="76"/>
        <v>0</v>
      </c>
      <c r="G683" s="128">
        <f>G679-G681</f>
        <v>0</v>
      </c>
      <c r="H683" s="128">
        <f t="shared" si="76"/>
        <v>0</v>
      </c>
    </row>
    <row r="684" spans="1:15" x14ac:dyDescent="0.25">
      <c r="G684" s="128"/>
    </row>
  </sheetData>
  <sortState ref="A436:B438">
    <sortCondition ref="A436"/>
  </sortState>
  <mergeCells count="166">
    <mergeCell ref="A594:A595"/>
    <mergeCell ref="B594:B595"/>
    <mergeCell ref="A631:H631"/>
    <mergeCell ref="A632:H632"/>
    <mergeCell ref="A633:H633"/>
    <mergeCell ref="A635:A636"/>
    <mergeCell ref="B635:B636"/>
    <mergeCell ref="A547:B547"/>
    <mergeCell ref="A550:A551"/>
    <mergeCell ref="B550:B551"/>
    <mergeCell ref="A553:B553"/>
    <mergeCell ref="A556:A557"/>
    <mergeCell ref="B556:B557"/>
    <mergeCell ref="A629:B629"/>
    <mergeCell ref="A591:B591"/>
    <mergeCell ref="A549:H549"/>
    <mergeCell ref="A555:H555"/>
    <mergeCell ref="A593:H593"/>
    <mergeCell ref="A520:B520"/>
    <mergeCell ref="A523:A524"/>
    <mergeCell ref="B523:B524"/>
    <mergeCell ref="A529:B529"/>
    <mergeCell ref="A532:A533"/>
    <mergeCell ref="B532:B533"/>
    <mergeCell ref="A492:B492"/>
    <mergeCell ref="A495:A496"/>
    <mergeCell ref="B495:B496"/>
    <mergeCell ref="A499:B499"/>
    <mergeCell ref="A502:A503"/>
    <mergeCell ref="B502:B503"/>
    <mergeCell ref="A494:H494"/>
    <mergeCell ref="A501:H501"/>
    <mergeCell ref="A522:H522"/>
    <mergeCell ref="A531:H531"/>
    <mergeCell ref="A464:B464"/>
    <mergeCell ref="A467:A468"/>
    <mergeCell ref="B467:B468"/>
    <mergeCell ref="A470:B470"/>
    <mergeCell ref="A474:A475"/>
    <mergeCell ref="B474:B475"/>
    <mergeCell ref="A434:B434"/>
    <mergeCell ref="A436:H436"/>
    <mergeCell ref="A437:A438"/>
    <mergeCell ref="B437:B438"/>
    <mergeCell ref="A456:B456"/>
    <mergeCell ref="A459:A460"/>
    <mergeCell ref="B459:B460"/>
    <mergeCell ref="A473:H473"/>
    <mergeCell ref="A466:H466"/>
    <mergeCell ref="A458:H458"/>
    <mergeCell ref="A414:H414"/>
    <mergeCell ref="A415:A416"/>
    <mergeCell ref="B415:B416"/>
    <mergeCell ref="A420:B420"/>
    <mergeCell ref="A423:A424"/>
    <mergeCell ref="B423:B424"/>
    <mergeCell ref="A382:A383"/>
    <mergeCell ref="B382:B383"/>
    <mergeCell ref="A395:B395"/>
    <mergeCell ref="A398:A399"/>
    <mergeCell ref="B398:B399"/>
    <mergeCell ref="A412:B412"/>
    <mergeCell ref="A397:H397"/>
    <mergeCell ref="A422:H422"/>
    <mergeCell ref="A362:B362"/>
    <mergeCell ref="A364:H364"/>
    <mergeCell ref="A365:A366"/>
    <mergeCell ref="B365:B366"/>
    <mergeCell ref="A379:B379"/>
    <mergeCell ref="A381:H381"/>
    <mergeCell ref="A334:A335"/>
    <mergeCell ref="B334:B335"/>
    <mergeCell ref="A338:B338"/>
    <mergeCell ref="A340:H340"/>
    <mergeCell ref="A341:A342"/>
    <mergeCell ref="B341:B342"/>
    <mergeCell ref="A321:B321"/>
    <mergeCell ref="A323:H323"/>
    <mergeCell ref="A324:A325"/>
    <mergeCell ref="B324:B325"/>
    <mergeCell ref="A331:B331"/>
    <mergeCell ref="A333:H333"/>
    <mergeCell ref="A260:B260"/>
    <mergeCell ref="A263:A264"/>
    <mergeCell ref="B263:B264"/>
    <mergeCell ref="A285:B285"/>
    <mergeCell ref="A287:H287"/>
    <mergeCell ref="A288:A289"/>
    <mergeCell ref="B288:B289"/>
    <mergeCell ref="A262:H262"/>
    <mergeCell ref="A197:A198"/>
    <mergeCell ref="B197:B198"/>
    <mergeCell ref="A231:A232"/>
    <mergeCell ref="B231:B232"/>
    <mergeCell ref="A249:B249"/>
    <mergeCell ref="A252:A253"/>
    <mergeCell ref="B252:B253"/>
    <mergeCell ref="A181:B181"/>
    <mergeCell ref="A190:H190"/>
    <mergeCell ref="A191:A192"/>
    <mergeCell ref="B191:B192"/>
    <mergeCell ref="A194:B194"/>
    <mergeCell ref="A230:H230"/>
    <mergeCell ref="A251:H251"/>
    <mergeCell ref="A183:H183"/>
    <mergeCell ref="A184:A185"/>
    <mergeCell ref="B184:B185"/>
    <mergeCell ref="A188:B188"/>
    <mergeCell ref="A196:H196"/>
    <mergeCell ref="A141:B141"/>
    <mergeCell ref="A145:A146"/>
    <mergeCell ref="B145:B146"/>
    <mergeCell ref="A167:B167"/>
    <mergeCell ref="A169:H169"/>
    <mergeCell ref="A170:A171"/>
    <mergeCell ref="B170:B171"/>
    <mergeCell ref="A126:A127"/>
    <mergeCell ref="B126:B127"/>
    <mergeCell ref="A130:B130"/>
    <mergeCell ref="A133:A134"/>
    <mergeCell ref="B133:B134"/>
    <mergeCell ref="A132:H132"/>
    <mergeCell ref="A144:H144"/>
    <mergeCell ref="A107:B107"/>
    <mergeCell ref="A110:A111"/>
    <mergeCell ref="B110:B111"/>
    <mergeCell ref="A123:B123"/>
    <mergeCell ref="A125:H125"/>
    <mergeCell ref="A87:B87"/>
    <mergeCell ref="A90:A91"/>
    <mergeCell ref="B90:B91"/>
    <mergeCell ref="A94:B94"/>
    <mergeCell ref="A96:H96"/>
    <mergeCell ref="A97:A98"/>
    <mergeCell ref="B97:B98"/>
    <mergeCell ref="A89:H89"/>
    <mergeCell ref="B109:H109"/>
    <mergeCell ref="A64:B64"/>
    <mergeCell ref="A66:H66"/>
    <mergeCell ref="A67:A68"/>
    <mergeCell ref="B67:B68"/>
    <mergeCell ref="A80:B80"/>
    <mergeCell ref="A83:A84"/>
    <mergeCell ref="B83:B84"/>
    <mergeCell ref="A25:B25"/>
    <mergeCell ref="A28:A29"/>
    <mergeCell ref="B28:B29"/>
    <mergeCell ref="A51:B51"/>
    <mergeCell ref="A53:H53"/>
    <mergeCell ref="A54:A55"/>
    <mergeCell ref="B54:B55"/>
    <mergeCell ref="B82:H82"/>
    <mergeCell ref="B27:H27"/>
    <mergeCell ref="A10:B10"/>
    <mergeCell ref="A12:H12"/>
    <mergeCell ref="A13:A14"/>
    <mergeCell ref="B13:B14"/>
    <mergeCell ref="A17:B17"/>
    <mergeCell ref="A20:A21"/>
    <mergeCell ref="B20:B21"/>
    <mergeCell ref="A1:H1"/>
    <mergeCell ref="A2:H2"/>
    <mergeCell ref="A3:H3"/>
    <mergeCell ref="A5:H5"/>
    <mergeCell ref="A6:A7"/>
    <mergeCell ref="B6:B7"/>
  </mergeCells>
  <pageMargins left="0.7" right="0.7" top="0.75" bottom="0.75" header="0.3" footer="0.3"/>
  <pageSetup scale="79" orientation="portrait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18" sqref="J18"/>
    </sheetView>
  </sheetViews>
  <sheetFormatPr defaultRowHeight="15" x14ac:dyDescent="0.25"/>
  <cols>
    <col min="1" max="1" width="6.5703125" bestFit="1" customWidth="1"/>
    <col min="2" max="2" width="18.7109375" bestFit="1" customWidth="1"/>
    <col min="3" max="3" width="25.85546875" customWidth="1"/>
    <col min="4" max="4" width="17.85546875" customWidth="1"/>
    <col min="5" max="5" width="17.140625" customWidth="1"/>
    <col min="6" max="6" width="18.85546875" customWidth="1"/>
  </cols>
  <sheetData>
    <row r="1" spans="1:6" ht="27" x14ac:dyDescent="0.25">
      <c r="A1" s="1311" t="s">
        <v>180</v>
      </c>
      <c r="B1" s="1311"/>
      <c r="C1" s="1311"/>
      <c r="D1" s="1311"/>
      <c r="E1" s="1311"/>
      <c r="F1" s="1311"/>
    </row>
    <row r="2" spans="1:6" ht="20.25" x14ac:dyDescent="0.25">
      <c r="A2" s="1312" t="str">
        <f>'Distt. Minor Minerals'!A3:H3</f>
        <v>Financial Year 2023-24</v>
      </c>
      <c r="B2" s="1312"/>
      <c r="C2" s="1312"/>
      <c r="D2" s="1312"/>
      <c r="E2" s="1312"/>
      <c r="F2" s="1312"/>
    </row>
    <row r="5" spans="1:6" ht="24" x14ac:dyDescent="0.35">
      <c r="A5" s="1310" t="s">
        <v>617</v>
      </c>
      <c r="B5" s="1310"/>
      <c r="C5" s="1310"/>
      <c r="D5" s="1310"/>
      <c r="E5" s="1310"/>
      <c r="F5" s="1310"/>
    </row>
    <row r="7" spans="1:6" ht="63" customHeight="1" x14ac:dyDescent="0.25">
      <c r="A7" s="76" t="s">
        <v>292</v>
      </c>
      <c r="B7" s="77" t="s">
        <v>293</v>
      </c>
      <c r="C7" s="77" t="s">
        <v>608</v>
      </c>
      <c r="D7" s="77" t="s">
        <v>294</v>
      </c>
      <c r="E7" s="77" t="s">
        <v>295</v>
      </c>
      <c r="F7" s="77" t="s">
        <v>296</v>
      </c>
    </row>
    <row r="8" spans="1:6" ht="20.25" x14ac:dyDescent="0.3">
      <c r="A8" s="592">
        <v>1</v>
      </c>
      <c r="B8" s="593" t="s">
        <v>297</v>
      </c>
      <c r="C8" s="594"/>
      <c r="D8" s="595"/>
      <c r="E8" s="595"/>
      <c r="F8" s="595"/>
    </row>
    <row r="9" spans="1:6" ht="20.25" x14ac:dyDescent="0.3">
      <c r="A9" s="592">
        <v>2</v>
      </c>
      <c r="B9" s="593" t="s">
        <v>298</v>
      </c>
      <c r="C9" s="594"/>
      <c r="D9" s="595"/>
      <c r="E9" s="594"/>
      <c r="F9" s="595"/>
    </row>
    <row r="10" spans="1:6" ht="20.25" x14ac:dyDescent="0.3">
      <c r="A10" s="592">
        <v>3</v>
      </c>
      <c r="B10" s="593" t="s">
        <v>299</v>
      </c>
      <c r="C10" s="595"/>
      <c r="D10" s="595"/>
      <c r="E10" s="594"/>
      <c r="F10" s="595"/>
    </row>
    <row r="11" spans="1:6" ht="20.25" x14ac:dyDescent="0.3">
      <c r="A11" s="592">
        <v>4</v>
      </c>
      <c r="B11" s="593" t="s">
        <v>300</v>
      </c>
      <c r="C11" s="595"/>
      <c r="D11" s="595"/>
      <c r="E11" s="594"/>
      <c r="F11" s="595"/>
    </row>
    <row r="12" spans="1:6" ht="20.25" x14ac:dyDescent="0.3">
      <c r="A12" s="592">
        <v>5</v>
      </c>
      <c r="B12" s="593" t="s">
        <v>301</v>
      </c>
      <c r="C12" s="594"/>
      <c r="D12" s="595"/>
      <c r="E12" s="594"/>
      <c r="F12" s="595"/>
    </row>
    <row r="13" spans="1:6" ht="20.25" x14ac:dyDescent="0.3">
      <c r="A13" s="592">
        <v>6</v>
      </c>
      <c r="B13" s="593" t="s">
        <v>378</v>
      </c>
      <c r="C13" s="595"/>
      <c r="D13" s="595"/>
      <c r="E13" s="594"/>
      <c r="F13" s="595"/>
    </row>
    <row r="14" spans="1:6" ht="30.75" x14ac:dyDescent="0.45">
      <c r="A14" s="78"/>
      <c r="B14" s="79" t="s">
        <v>302</v>
      </c>
      <c r="C14" s="80">
        <f>SUM(C8:C13)</f>
        <v>0</v>
      </c>
      <c r="D14" s="80">
        <f>SUM(D8:D13)</f>
        <v>0</v>
      </c>
      <c r="E14" s="80">
        <f>SUM(E8:E13)</f>
        <v>0</v>
      </c>
      <c r="F14" s="80">
        <f>SUM(F8:F13)</f>
        <v>0</v>
      </c>
    </row>
  </sheetData>
  <mergeCells count="3">
    <mergeCell ref="A5:F5"/>
    <mergeCell ref="A1:F1"/>
    <mergeCell ref="A2:F2"/>
  </mergeCells>
  <pageMargins left="0.7" right="0.7" top="0.75" bottom="0.75" header="0.3" footer="0.3"/>
  <pageSetup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BreakPreview" topLeftCell="A22" zoomScale="70" zoomScaleSheetLayoutView="70" workbookViewId="0">
      <selection activeCell="I61" sqref="I61"/>
    </sheetView>
  </sheetViews>
  <sheetFormatPr defaultRowHeight="15" x14ac:dyDescent="0.25"/>
  <cols>
    <col min="2" max="2" width="39.7109375" customWidth="1"/>
    <col min="3" max="3" width="27.140625" customWidth="1"/>
    <col min="4" max="4" width="24.42578125" customWidth="1"/>
    <col min="5" max="5" width="24" customWidth="1"/>
  </cols>
  <sheetData>
    <row r="1" spans="1:8" ht="31.5" customHeight="1" x14ac:dyDescent="0.25">
      <c r="A1" s="1311" t="s">
        <v>180</v>
      </c>
      <c r="B1" s="1311"/>
      <c r="C1" s="1311"/>
      <c r="D1" s="1311"/>
      <c r="E1" s="1311"/>
    </row>
    <row r="2" spans="1:8" ht="27" x14ac:dyDescent="0.25">
      <c r="A2" s="1331" t="str">
        <f>Categorywise!A2</f>
        <v>Financial Year 2023-24</v>
      </c>
      <c r="B2" s="1331"/>
      <c r="C2" s="1331"/>
      <c r="D2" s="1331"/>
      <c r="E2" s="1331"/>
    </row>
    <row r="3" spans="1:8" ht="22.5" x14ac:dyDescent="0.25">
      <c r="A3" s="1282"/>
      <c r="B3" s="1282"/>
      <c r="C3" s="1282"/>
      <c r="D3" s="1282"/>
      <c r="E3" s="1282"/>
    </row>
    <row r="5" spans="1:8" x14ac:dyDescent="0.25">
      <c r="A5" s="1317" t="s">
        <v>303</v>
      </c>
      <c r="B5" s="1319" t="s">
        <v>304</v>
      </c>
      <c r="C5" s="1313" t="s">
        <v>305</v>
      </c>
      <c r="D5" s="1313" t="s">
        <v>306</v>
      </c>
      <c r="E5" s="1313" t="s">
        <v>307</v>
      </c>
    </row>
    <row r="6" spans="1:8" ht="45.75" customHeight="1" x14ac:dyDescent="0.25">
      <c r="A6" s="1318"/>
      <c r="B6" s="1319"/>
      <c r="C6" s="1314"/>
      <c r="D6" s="1314"/>
      <c r="E6" s="1314"/>
    </row>
    <row r="7" spans="1:8" ht="27.75" x14ac:dyDescent="0.4">
      <c r="A7" s="91">
        <v>1</v>
      </c>
      <c r="B7" s="104" t="s">
        <v>308</v>
      </c>
      <c r="C7" s="1320"/>
      <c r="D7" s="1321"/>
      <c r="E7" s="1322"/>
    </row>
    <row r="8" spans="1:8" ht="26.25" x14ac:dyDescent="0.4">
      <c r="A8" s="98">
        <v>1</v>
      </c>
      <c r="B8" s="99" t="s">
        <v>309</v>
      </c>
      <c r="C8" s="83">
        <f>'Office Major'!C21</f>
        <v>5</v>
      </c>
      <c r="D8" s="83">
        <f>'Office Minor'!C37</f>
        <v>620</v>
      </c>
      <c r="E8" s="83">
        <f>O8</f>
        <v>0</v>
      </c>
    </row>
    <row r="9" spans="1:8" ht="26.25" x14ac:dyDescent="0.4">
      <c r="A9" s="98">
        <v>2</v>
      </c>
      <c r="B9" s="99" t="s">
        <v>310</v>
      </c>
      <c r="C9" s="83">
        <v>0</v>
      </c>
      <c r="D9" s="83">
        <f>'Office Minor'!C507</f>
        <v>160</v>
      </c>
      <c r="E9" s="83">
        <f>QL!D20</f>
        <v>720</v>
      </c>
    </row>
    <row r="10" spans="1:8" ht="26.25" x14ac:dyDescent="0.4">
      <c r="A10" s="98">
        <v>3</v>
      </c>
      <c r="B10" s="99" t="s">
        <v>311</v>
      </c>
      <c r="C10" s="83">
        <f>'Office Major'!C157</f>
        <v>6</v>
      </c>
      <c r="D10" s="83">
        <f>'Office Minor'!C524</f>
        <v>710</v>
      </c>
      <c r="E10" s="83">
        <f>QL!D9</f>
        <v>151</v>
      </c>
    </row>
    <row r="11" spans="1:8" ht="26.25" x14ac:dyDescent="0.4">
      <c r="A11" s="100">
        <v>4</v>
      </c>
      <c r="B11" s="99" t="s">
        <v>312</v>
      </c>
      <c r="C11" s="83">
        <f>'Office Major'!C51</f>
        <v>9</v>
      </c>
      <c r="D11" s="83">
        <f>'Office Minor'!C136</f>
        <v>384</v>
      </c>
      <c r="E11" s="84">
        <f>QL!D10</f>
        <v>20</v>
      </c>
    </row>
    <row r="12" spans="1:8" ht="26.25" x14ac:dyDescent="0.4">
      <c r="A12" s="100">
        <v>5</v>
      </c>
      <c r="B12" s="99" t="s">
        <v>313</v>
      </c>
      <c r="C12" s="83">
        <f>'Office Major'!C96</f>
        <v>4</v>
      </c>
      <c r="D12" s="83">
        <f>'Office Minor'!C325</f>
        <v>339</v>
      </c>
      <c r="E12" s="84">
        <f>QL!M16</f>
        <v>0</v>
      </c>
    </row>
    <row r="13" spans="1:8" ht="26.25" x14ac:dyDescent="0.4">
      <c r="A13" s="100">
        <v>6</v>
      </c>
      <c r="B13" s="99" t="s">
        <v>314</v>
      </c>
      <c r="C13" s="84">
        <f>'Office Major'!C194</f>
        <v>6</v>
      </c>
      <c r="D13" s="83">
        <f>'Office Minor'!C701</f>
        <v>484</v>
      </c>
      <c r="E13" s="84">
        <f>M13</f>
        <v>0</v>
      </c>
    </row>
    <row r="14" spans="1:8" ht="26.25" x14ac:dyDescent="0.4">
      <c r="A14" s="1315" t="s">
        <v>50</v>
      </c>
      <c r="B14" s="1316"/>
      <c r="C14" s="88">
        <f>SUM(C8:C13)</f>
        <v>30</v>
      </c>
      <c r="D14" s="88">
        <f>SUM(D8:D13)</f>
        <v>2697</v>
      </c>
      <c r="E14" s="88">
        <f>SUM(E8:E13)</f>
        <v>891</v>
      </c>
      <c r="H14" t="s">
        <v>640</v>
      </c>
    </row>
    <row r="15" spans="1:8" ht="27.75" x14ac:dyDescent="0.4">
      <c r="A15" s="101">
        <v>2</v>
      </c>
      <c r="B15" s="105" t="s">
        <v>315</v>
      </c>
      <c r="C15" s="1323"/>
      <c r="D15" s="1324"/>
      <c r="E15" s="1325"/>
    </row>
    <row r="16" spans="1:8" ht="26.25" x14ac:dyDescent="0.4">
      <c r="A16" s="99">
        <v>1</v>
      </c>
      <c r="B16" s="99" t="s">
        <v>316</v>
      </c>
      <c r="C16" s="86">
        <v>0</v>
      </c>
      <c r="D16" s="87">
        <f>'Office Minor'!C163</f>
        <v>424</v>
      </c>
      <c r="E16" s="87">
        <f>M19</f>
        <v>0</v>
      </c>
    </row>
    <row r="17" spans="1:5" ht="26.25" x14ac:dyDescent="0.4">
      <c r="A17" s="99">
        <v>2</v>
      </c>
      <c r="B17" s="99" t="s">
        <v>317</v>
      </c>
      <c r="C17" s="87">
        <v>0</v>
      </c>
      <c r="D17" s="87">
        <f>'Office Minor'!C296</f>
        <v>137</v>
      </c>
      <c r="E17" s="87">
        <f>M20</f>
        <v>0</v>
      </c>
    </row>
    <row r="18" spans="1:5" ht="26.25" x14ac:dyDescent="0.4">
      <c r="A18" s="99">
        <v>3</v>
      </c>
      <c r="B18" s="99" t="s">
        <v>318</v>
      </c>
      <c r="C18" s="87">
        <v>0</v>
      </c>
      <c r="D18" s="87">
        <f>'Office Minor'!C458</f>
        <v>271</v>
      </c>
      <c r="E18" s="87">
        <f>M21</f>
        <v>0</v>
      </c>
    </row>
    <row r="19" spans="1:5" ht="26.25" x14ac:dyDescent="0.4">
      <c r="A19" s="102">
        <v>4</v>
      </c>
      <c r="B19" s="99" t="s">
        <v>319</v>
      </c>
      <c r="C19" s="87">
        <v>0</v>
      </c>
      <c r="D19" s="87">
        <f>'Office Minor'!C651</f>
        <v>261</v>
      </c>
      <c r="E19" s="87">
        <f>M22</f>
        <v>0</v>
      </c>
    </row>
    <row r="20" spans="1:5" ht="26.25" x14ac:dyDescent="0.4">
      <c r="A20" s="102">
        <v>5</v>
      </c>
      <c r="B20" s="98" t="s">
        <v>320</v>
      </c>
      <c r="C20" s="83">
        <f>O19</f>
        <v>0</v>
      </c>
      <c r="D20" s="83">
        <f>'Office Minor'!C685</f>
        <v>50</v>
      </c>
      <c r="E20" s="87">
        <f>M23</f>
        <v>0</v>
      </c>
    </row>
    <row r="21" spans="1:5" ht="26.25" x14ac:dyDescent="0.4">
      <c r="A21" s="1315" t="s">
        <v>50</v>
      </c>
      <c r="B21" s="1316"/>
      <c r="C21" s="88">
        <f>SUM(C16:C20)</f>
        <v>0</v>
      </c>
      <c r="D21" s="88">
        <f>SUM(D16:D20)</f>
        <v>1143</v>
      </c>
      <c r="E21" s="88">
        <f>SUM(E16:E20)</f>
        <v>0</v>
      </c>
    </row>
    <row r="22" spans="1:5" ht="27.75" x14ac:dyDescent="0.4">
      <c r="A22" s="100">
        <v>3</v>
      </c>
      <c r="B22" s="106" t="s">
        <v>321</v>
      </c>
      <c r="C22" s="1326"/>
      <c r="D22" s="1327"/>
      <c r="E22" s="1328"/>
    </row>
    <row r="23" spans="1:5" ht="26.25" x14ac:dyDescent="0.4">
      <c r="A23" s="99">
        <v>1</v>
      </c>
      <c r="B23" s="99" t="s">
        <v>322</v>
      </c>
      <c r="C23" s="87">
        <f>'Office Major'!C72</f>
        <v>3</v>
      </c>
      <c r="D23" s="87">
        <f>'Office Minor'!C202</f>
        <v>376</v>
      </c>
      <c r="E23" s="87">
        <f>QL!D14</f>
        <v>34</v>
      </c>
    </row>
    <row r="24" spans="1:5" ht="26.25" x14ac:dyDescent="0.4">
      <c r="A24" s="99">
        <v>2</v>
      </c>
      <c r="B24" s="99" t="s">
        <v>323</v>
      </c>
      <c r="C24" s="87">
        <f>'Office Major'!C112</f>
        <v>13</v>
      </c>
      <c r="D24" s="87">
        <f>'Office Minor'!C356</f>
        <v>481</v>
      </c>
      <c r="E24" s="87">
        <v>0</v>
      </c>
    </row>
    <row r="25" spans="1:5" ht="26.25" x14ac:dyDescent="0.4">
      <c r="A25" s="99">
        <v>3</v>
      </c>
      <c r="B25" s="99" t="s">
        <v>324</v>
      </c>
      <c r="C25" s="87">
        <v>0</v>
      </c>
      <c r="D25" s="87">
        <f>'Office Minor'!C770</f>
        <v>8</v>
      </c>
      <c r="E25" s="87">
        <v>0</v>
      </c>
    </row>
    <row r="26" spans="1:5" ht="26.25" x14ac:dyDescent="0.4">
      <c r="A26" s="99">
        <v>4</v>
      </c>
      <c r="B26" s="98" t="s">
        <v>325</v>
      </c>
      <c r="C26" s="87">
        <v>0</v>
      </c>
      <c r="D26" s="87">
        <f>'Office Minor'!C239</f>
        <v>179</v>
      </c>
      <c r="E26" s="87">
        <f>QL!D7</f>
        <v>19</v>
      </c>
    </row>
    <row r="27" spans="1:5" ht="26.25" x14ac:dyDescent="0.4">
      <c r="A27" s="99">
        <v>5</v>
      </c>
      <c r="B27" s="98" t="s">
        <v>326</v>
      </c>
      <c r="C27" s="87">
        <v>0</v>
      </c>
      <c r="D27" s="87">
        <f>'Office Minor'!C335</f>
        <v>80</v>
      </c>
      <c r="E27" s="87">
        <f>I28</f>
        <v>0</v>
      </c>
    </row>
    <row r="28" spans="1:5" ht="26.25" x14ac:dyDescent="0.4">
      <c r="A28" s="1315" t="s">
        <v>50</v>
      </c>
      <c r="B28" s="1316"/>
      <c r="C28" s="88">
        <f>SUM(C23:C27)</f>
        <v>16</v>
      </c>
      <c r="D28" s="88">
        <f>SUM(D23:D27)</f>
        <v>1124</v>
      </c>
      <c r="E28" s="88">
        <f>SUM(E23:E27)</f>
        <v>53</v>
      </c>
    </row>
    <row r="29" spans="1:5" ht="27.75" x14ac:dyDescent="0.4">
      <c r="A29" s="100">
        <v>4</v>
      </c>
      <c r="B29" s="106" t="s">
        <v>327</v>
      </c>
      <c r="C29" s="87"/>
      <c r="D29" s="87"/>
      <c r="E29" s="87"/>
    </row>
    <row r="30" spans="1:5" ht="26.25" x14ac:dyDescent="0.4">
      <c r="A30" s="99">
        <v>1</v>
      </c>
      <c r="B30" s="99" t="s">
        <v>328</v>
      </c>
      <c r="C30" s="87">
        <f>'Office Major'!C105</f>
        <v>2</v>
      </c>
      <c r="D30" s="668">
        <f>'Office Minor'!C377</f>
        <v>834</v>
      </c>
      <c r="E30" s="87">
        <f>QL!O14</f>
        <v>0</v>
      </c>
    </row>
    <row r="31" spans="1:5" ht="26.25" x14ac:dyDescent="0.4">
      <c r="A31" s="99">
        <v>2</v>
      </c>
      <c r="B31" s="99" t="s">
        <v>329</v>
      </c>
      <c r="C31" s="87">
        <v>0</v>
      </c>
      <c r="D31" s="87">
        <f>'Office Minor'!C724</f>
        <v>227</v>
      </c>
      <c r="E31" s="87">
        <f>M32</f>
        <v>0</v>
      </c>
    </row>
    <row r="32" spans="1:5" ht="26.25" x14ac:dyDescent="0.4">
      <c r="A32" s="99">
        <v>3</v>
      </c>
      <c r="B32" s="99" t="s">
        <v>471</v>
      </c>
      <c r="C32" s="87">
        <f>'Office Major'!C27</f>
        <v>0</v>
      </c>
      <c r="D32" s="87">
        <f>'Office Minor'!C55</f>
        <v>331</v>
      </c>
      <c r="E32" s="87">
        <f>M32</f>
        <v>0</v>
      </c>
    </row>
    <row r="33" spans="1:5" ht="26.25" x14ac:dyDescent="0.4">
      <c r="A33" s="99">
        <v>4</v>
      </c>
      <c r="B33" s="103" t="s">
        <v>331</v>
      </c>
      <c r="C33" s="87">
        <f>'Office Major'!C126</f>
        <v>10</v>
      </c>
      <c r="D33" s="87">
        <f>'Office Minor'!C425</f>
        <v>439</v>
      </c>
      <c r="E33" s="87">
        <f>O34</f>
        <v>0</v>
      </c>
    </row>
    <row r="34" spans="1:5" ht="26.25" x14ac:dyDescent="0.4">
      <c r="A34" s="99">
        <v>5</v>
      </c>
      <c r="B34" s="99" t="s">
        <v>332</v>
      </c>
      <c r="C34" s="87">
        <f>'Office Major'!C84</f>
        <v>1</v>
      </c>
      <c r="D34" s="668">
        <f>'Office Minor'!C285</f>
        <v>123</v>
      </c>
      <c r="E34" s="87">
        <f>O34</f>
        <v>0</v>
      </c>
    </row>
    <row r="35" spans="1:5" ht="26.25" x14ac:dyDescent="0.4">
      <c r="A35" s="99">
        <v>6</v>
      </c>
      <c r="B35" s="99" t="s">
        <v>333</v>
      </c>
      <c r="C35" s="87">
        <f>'Office Major'!C170</f>
        <v>3</v>
      </c>
      <c r="D35" s="87">
        <f>'Office Minor'!C542</f>
        <v>441</v>
      </c>
      <c r="E35" s="87">
        <f>O35</f>
        <v>0</v>
      </c>
    </row>
    <row r="36" spans="1:5" ht="26.25" x14ac:dyDescent="0.4">
      <c r="A36" s="99">
        <v>7</v>
      </c>
      <c r="B36" s="99" t="s">
        <v>334</v>
      </c>
      <c r="C36" s="87">
        <f>'Office Major'!C150</f>
        <v>6</v>
      </c>
      <c r="D36" s="87">
        <f>'Office Minor'!C495</f>
        <v>334</v>
      </c>
      <c r="E36" s="87">
        <f>M36</f>
        <v>0</v>
      </c>
    </row>
    <row r="37" spans="1:5" ht="26.25" x14ac:dyDescent="0.4">
      <c r="A37" s="99">
        <v>8</v>
      </c>
      <c r="B37" s="99" t="s">
        <v>335</v>
      </c>
      <c r="C37" s="87">
        <f>'Office Major'!C217</f>
        <v>5</v>
      </c>
      <c r="D37" s="87">
        <f>'Office Minor'!C787</f>
        <v>369</v>
      </c>
      <c r="E37" s="87">
        <f>I37</f>
        <v>0</v>
      </c>
    </row>
    <row r="38" spans="1:5" ht="26.25" x14ac:dyDescent="0.4">
      <c r="A38" s="1315" t="s">
        <v>50</v>
      </c>
      <c r="B38" s="1316"/>
      <c r="C38" s="88">
        <f>SUM(C30:C37)</f>
        <v>27</v>
      </c>
      <c r="D38" s="88">
        <f>SUM(D30:D37)</f>
        <v>3098</v>
      </c>
      <c r="E38" s="88">
        <f>SUM(E30:E37)</f>
        <v>0</v>
      </c>
    </row>
    <row r="39" spans="1:5" ht="27.75" x14ac:dyDescent="0.4">
      <c r="A39" s="100">
        <v>5</v>
      </c>
      <c r="B39" s="106" t="s">
        <v>336</v>
      </c>
      <c r="C39" s="1326"/>
      <c r="D39" s="1327"/>
      <c r="E39" s="1328"/>
    </row>
    <row r="40" spans="1:5" ht="26.25" x14ac:dyDescent="0.4">
      <c r="A40" s="99">
        <v>1</v>
      </c>
      <c r="B40" s="99" t="s">
        <v>337</v>
      </c>
      <c r="C40" s="668">
        <f>'Office Major'!C140</f>
        <v>1</v>
      </c>
      <c r="D40" s="87">
        <f>'Office Minor'!C472</f>
        <v>92</v>
      </c>
      <c r="E40" s="87">
        <f>N42</f>
        <v>0</v>
      </c>
    </row>
    <row r="41" spans="1:5" ht="26.25" x14ac:dyDescent="0.4">
      <c r="A41" s="99">
        <v>2</v>
      </c>
      <c r="B41" s="99" t="s">
        <v>338</v>
      </c>
      <c r="C41" s="87">
        <f>'Office Major'!C186</f>
        <v>1</v>
      </c>
      <c r="D41" s="87">
        <f>'Office Minor'!C625</f>
        <v>64</v>
      </c>
      <c r="E41" s="87">
        <f>QL!E27</f>
        <v>0</v>
      </c>
    </row>
    <row r="42" spans="1:5" ht="26.25" x14ac:dyDescent="0.4">
      <c r="A42" s="99">
        <v>3</v>
      </c>
      <c r="B42" s="99" t="s">
        <v>339</v>
      </c>
      <c r="C42" s="87">
        <v>0</v>
      </c>
      <c r="D42" s="668">
        <f>'Office Minor'!C210</f>
        <v>199</v>
      </c>
      <c r="E42" s="87">
        <f>O45</f>
        <v>0</v>
      </c>
    </row>
    <row r="43" spans="1:5" ht="26.25" x14ac:dyDescent="0.4">
      <c r="A43" s="99">
        <v>4</v>
      </c>
      <c r="B43" s="99" t="s">
        <v>340</v>
      </c>
      <c r="C43" s="87">
        <v>0</v>
      </c>
      <c r="D43" s="87">
        <f>'Office Minor'!C227</f>
        <v>440</v>
      </c>
      <c r="E43" s="87">
        <f>M45</f>
        <v>0</v>
      </c>
    </row>
    <row r="44" spans="1:5" ht="26.25" x14ac:dyDescent="0.4">
      <c r="A44" s="99">
        <v>5</v>
      </c>
      <c r="B44" s="99" t="s">
        <v>341</v>
      </c>
      <c r="C44" s="87">
        <v>0</v>
      </c>
      <c r="D44" s="668">
        <f>'Office Minor'!C406</f>
        <v>153</v>
      </c>
      <c r="E44" s="87">
        <f>N45</f>
        <v>0</v>
      </c>
    </row>
    <row r="45" spans="1:5" ht="26.25" x14ac:dyDescent="0.4">
      <c r="A45" s="99">
        <v>6</v>
      </c>
      <c r="B45" s="99" t="s">
        <v>342</v>
      </c>
      <c r="C45" s="87">
        <f>O45</f>
        <v>0</v>
      </c>
      <c r="D45" s="87">
        <f>'Office Minor'!C98</f>
        <v>48</v>
      </c>
      <c r="E45" s="87">
        <f>O46</f>
        <v>0</v>
      </c>
    </row>
    <row r="46" spans="1:5" ht="26.25" x14ac:dyDescent="0.4">
      <c r="A46" s="1315" t="s">
        <v>50</v>
      </c>
      <c r="B46" s="1316"/>
      <c r="C46" s="88">
        <f>SUM(C40:C45)</f>
        <v>2</v>
      </c>
      <c r="D46" s="88">
        <f>SUM(D40:D45)</f>
        <v>996</v>
      </c>
      <c r="E46" s="88">
        <f>SUM(E40:E45)</f>
        <v>0</v>
      </c>
    </row>
    <row r="47" spans="1:5" ht="27.75" x14ac:dyDescent="0.4">
      <c r="A47" s="100">
        <v>6</v>
      </c>
      <c r="B47" s="106" t="s">
        <v>343</v>
      </c>
      <c r="C47" s="1326"/>
      <c r="D47" s="1327"/>
      <c r="E47" s="1328"/>
    </row>
    <row r="48" spans="1:5" ht="26.25" x14ac:dyDescent="0.4">
      <c r="A48" s="99">
        <v>1</v>
      </c>
      <c r="B48" s="99" t="s">
        <v>344</v>
      </c>
      <c r="C48" s="87">
        <f>'Office Major'!C131</f>
        <v>1</v>
      </c>
      <c r="D48" s="87">
        <f>'Office Minor'!C440</f>
        <v>453</v>
      </c>
      <c r="E48" s="87">
        <v>6917</v>
      </c>
    </row>
    <row r="49" spans="1:5" ht="26.25" x14ac:dyDescent="0.4">
      <c r="A49" s="99">
        <v>2</v>
      </c>
      <c r="B49" s="99" t="s">
        <v>345</v>
      </c>
      <c r="C49" s="87">
        <f>'Office Major'!C203</f>
        <v>8</v>
      </c>
      <c r="D49" s="87">
        <f>'Office Minor'!C742</f>
        <v>441</v>
      </c>
      <c r="E49" s="87">
        <f>QL!N14</f>
        <v>0</v>
      </c>
    </row>
    <row r="50" spans="1:5" ht="26.25" x14ac:dyDescent="0.4">
      <c r="A50" s="99">
        <v>3</v>
      </c>
      <c r="B50" s="99" t="s">
        <v>346</v>
      </c>
      <c r="C50" s="87">
        <f>'Office Major'!C42</f>
        <v>15</v>
      </c>
      <c r="D50" s="87">
        <f>'Office Minor'!C118</f>
        <v>528</v>
      </c>
      <c r="E50" s="87">
        <f>QL!N15</f>
        <v>0</v>
      </c>
    </row>
    <row r="51" spans="1:5" ht="26.25" x14ac:dyDescent="0.4">
      <c r="A51" s="99">
        <v>4</v>
      </c>
      <c r="B51" s="99" t="s">
        <v>347</v>
      </c>
      <c r="C51" s="87">
        <f>'Office Major'!C211</f>
        <v>8</v>
      </c>
      <c r="D51" s="87">
        <f>'Office Minor'!C761</f>
        <v>592</v>
      </c>
      <c r="E51" s="87">
        <f>QL!D22</f>
        <v>77</v>
      </c>
    </row>
    <row r="52" spans="1:5" ht="26.25" x14ac:dyDescent="0.4">
      <c r="A52" s="99">
        <v>5</v>
      </c>
      <c r="B52" s="99" t="s">
        <v>348</v>
      </c>
      <c r="C52" s="87">
        <f>'Office Major'!C118</f>
        <v>5</v>
      </c>
      <c r="D52" s="668">
        <f>'Office Minor'!C391</f>
        <v>618</v>
      </c>
      <c r="E52" s="87">
        <f>QL!M13</f>
        <v>0</v>
      </c>
    </row>
    <row r="53" spans="1:5" ht="26.25" x14ac:dyDescent="0.4">
      <c r="A53" s="99">
        <v>6</v>
      </c>
      <c r="B53" s="99" t="s">
        <v>349</v>
      </c>
      <c r="C53" s="83">
        <v>0</v>
      </c>
      <c r="D53" s="83">
        <f>'Office Minor'!C69</f>
        <v>164</v>
      </c>
      <c r="E53" s="87">
        <f>QL!D21</f>
        <v>6025</v>
      </c>
    </row>
    <row r="54" spans="1:5" ht="26.25" x14ac:dyDescent="0.4">
      <c r="A54" s="1315" t="s">
        <v>50</v>
      </c>
      <c r="B54" s="1316"/>
      <c r="C54" s="88">
        <f>SUM(C48:C53)</f>
        <v>37</v>
      </c>
      <c r="D54" s="88">
        <f>SUM(D48:D53)</f>
        <v>2796</v>
      </c>
      <c r="E54" s="88">
        <f>SUM(E48:E53)</f>
        <v>13019</v>
      </c>
    </row>
    <row r="55" spans="1:5" ht="27.75" x14ac:dyDescent="0.4">
      <c r="A55" s="100">
        <v>7</v>
      </c>
      <c r="B55" s="106" t="s">
        <v>350</v>
      </c>
      <c r="C55" s="1326"/>
      <c r="D55" s="1327"/>
      <c r="E55" s="1328"/>
    </row>
    <row r="56" spans="1:5" ht="26.25" x14ac:dyDescent="0.4">
      <c r="A56" s="99">
        <v>1</v>
      </c>
      <c r="B56" s="99" t="s">
        <v>351</v>
      </c>
      <c r="C56" s="87">
        <f>'Office Major'!C65</f>
        <v>11</v>
      </c>
      <c r="D56" s="87">
        <f>'Office Minor'!C187</f>
        <v>1492</v>
      </c>
      <c r="E56" s="87">
        <f>QL!D6</f>
        <v>79</v>
      </c>
    </row>
    <row r="57" spans="1:5" ht="26.25" x14ac:dyDescent="0.4">
      <c r="A57" s="99">
        <v>2</v>
      </c>
      <c r="B57" s="99" t="s">
        <v>352</v>
      </c>
      <c r="C57" s="87">
        <v>0</v>
      </c>
      <c r="D57" s="87">
        <f>'Office Minor'!C152</f>
        <v>19</v>
      </c>
      <c r="E57" s="87">
        <f>QL!D13</f>
        <v>1039</v>
      </c>
    </row>
    <row r="58" spans="1:5" ht="26.25" x14ac:dyDescent="0.4">
      <c r="A58" s="99">
        <v>3</v>
      </c>
      <c r="B58" s="99" t="s">
        <v>353</v>
      </c>
      <c r="C58" s="668">
        <f>'Office Major'!C78</f>
        <v>2</v>
      </c>
      <c r="D58" s="668">
        <f>'Office Minor'!C265</f>
        <v>110</v>
      </c>
      <c r="E58" s="668">
        <f>QL!D15+QL!D16+QL!D17</f>
        <v>844</v>
      </c>
    </row>
    <row r="59" spans="1:5" ht="26.25" x14ac:dyDescent="0.4">
      <c r="A59" s="99">
        <v>4</v>
      </c>
      <c r="B59" s="99" t="s">
        <v>354</v>
      </c>
      <c r="C59" s="668">
        <f>'Office Major'!C163</f>
        <v>10</v>
      </c>
      <c r="D59" s="87">
        <f>'Office Minor'!C560</f>
        <v>89</v>
      </c>
      <c r="E59" s="87">
        <f>QL!D19</f>
        <v>1252</v>
      </c>
    </row>
    <row r="60" spans="1:5" ht="26.25" x14ac:dyDescent="0.4">
      <c r="A60" s="1315" t="s">
        <v>50</v>
      </c>
      <c r="B60" s="1316"/>
      <c r="C60" s="85">
        <f>SUM(C56:C59)</f>
        <v>23</v>
      </c>
      <c r="D60" s="85">
        <f>SUM(D56:D59)</f>
        <v>1710</v>
      </c>
      <c r="E60" s="85">
        <f>SUM(E56:E59)</f>
        <v>3214</v>
      </c>
    </row>
    <row r="61" spans="1:5" ht="27.75" x14ac:dyDescent="0.4">
      <c r="A61" s="100">
        <v>8</v>
      </c>
      <c r="B61" s="106" t="s">
        <v>355</v>
      </c>
      <c r="C61" s="1332"/>
      <c r="D61" s="1333"/>
      <c r="E61" s="1334"/>
    </row>
    <row r="62" spans="1:5" ht="26.25" x14ac:dyDescent="0.4">
      <c r="A62" s="99">
        <v>1</v>
      </c>
      <c r="B62" s="99" t="s">
        <v>356</v>
      </c>
      <c r="C62" s="83">
        <v>0</v>
      </c>
      <c r="D62" s="83">
        <f>'Office Minor'!C594</f>
        <v>634</v>
      </c>
      <c r="E62" s="87">
        <f>L62</f>
        <v>0</v>
      </c>
    </row>
    <row r="63" spans="1:5" ht="26.25" x14ac:dyDescent="0.4">
      <c r="A63" s="99">
        <v>2</v>
      </c>
      <c r="B63" s="99" t="s">
        <v>357</v>
      </c>
      <c r="C63" s="83">
        <f>'Office Major'!C180</f>
        <v>3</v>
      </c>
      <c r="D63" s="83">
        <f>'Office Minor'!C612</f>
        <v>622</v>
      </c>
      <c r="E63" s="87">
        <f>L63</f>
        <v>0</v>
      </c>
    </row>
    <row r="64" spans="1:5" ht="26.25" x14ac:dyDescent="0.4">
      <c r="A64" s="99">
        <v>3</v>
      </c>
      <c r="B64" s="99" t="s">
        <v>358</v>
      </c>
      <c r="C64" s="83">
        <f>'Office Major'!C9</f>
        <v>1</v>
      </c>
      <c r="D64" s="83">
        <f>'Office Minor'!C20</f>
        <v>969</v>
      </c>
      <c r="E64" s="87">
        <f>L64</f>
        <v>0</v>
      </c>
    </row>
    <row r="65" spans="1:5" ht="26.25" x14ac:dyDescent="0.4">
      <c r="A65" s="1315" t="s">
        <v>50</v>
      </c>
      <c r="B65" s="1316"/>
      <c r="C65" s="88">
        <f>SUM(C62:C64)</f>
        <v>4</v>
      </c>
      <c r="D65" s="88">
        <f>SUM(D62:D64)</f>
        <v>2225</v>
      </c>
      <c r="E65" s="88">
        <f>SUM(E62:E64)</f>
        <v>0</v>
      </c>
    </row>
    <row r="66" spans="1:5" ht="26.25" x14ac:dyDescent="0.4">
      <c r="A66" s="100">
        <v>9</v>
      </c>
      <c r="B66" s="100" t="s">
        <v>359</v>
      </c>
      <c r="C66" s="1326"/>
      <c r="D66" s="1327"/>
      <c r="E66" s="1328"/>
    </row>
    <row r="67" spans="1:5" ht="26.25" x14ac:dyDescent="0.4">
      <c r="A67" s="99">
        <v>1</v>
      </c>
      <c r="B67" s="99" t="s">
        <v>360</v>
      </c>
      <c r="C67" s="87">
        <f>'Office Major'!C270</f>
        <v>6</v>
      </c>
      <c r="D67" s="87">
        <f>'Office Minor'!C869</f>
        <v>506</v>
      </c>
      <c r="E67" s="87">
        <v>0</v>
      </c>
    </row>
    <row r="68" spans="1:5" ht="26.25" x14ac:dyDescent="0.4">
      <c r="A68" s="99">
        <v>2</v>
      </c>
      <c r="B68" s="99" t="s">
        <v>361</v>
      </c>
      <c r="C68" s="87">
        <v>0</v>
      </c>
      <c r="D68" s="87">
        <f>'Office Minor'!C855</f>
        <v>125</v>
      </c>
      <c r="E68" s="87">
        <v>0</v>
      </c>
    </row>
    <row r="69" spans="1:5" ht="26.25" x14ac:dyDescent="0.4">
      <c r="A69" s="99">
        <v>3</v>
      </c>
      <c r="B69" s="99" t="s">
        <v>362</v>
      </c>
      <c r="C69" s="87">
        <v>0</v>
      </c>
      <c r="D69" s="87">
        <f>'Office Minor'!C859</f>
        <v>163</v>
      </c>
      <c r="E69" s="87">
        <v>0</v>
      </c>
    </row>
    <row r="70" spans="1:5" ht="26.25" x14ac:dyDescent="0.4">
      <c r="A70" s="99">
        <v>4</v>
      </c>
      <c r="B70" s="99" t="s">
        <v>363</v>
      </c>
      <c r="C70" s="87">
        <v>0</v>
      </c>
      <c r="D70" s="87">
        <f>'Office Minor'!C866</f>
        <v>94</v>
      </c>
      <c r="E70" s="87">
        <v>0</v>
      </c>
    </row>
    <row r="71" spans="1:5" ht="26.25" x14ac:dyDescent="0.4">
      <c r="A71" s="99">
        <v>5</v>
      </c>
      <c r="B71" s="99" t="s">
        <v>364</v>
      </c>
      <c r="C71" s="87">
        <f>'Office Major'!C245</f>
        <v>2</v>
      </c>
      <c r="D71" s="87">
        <f>'Office Minor'!C825</f>
        <v>157</v>
      </c>
      <c r="E71" s="87">
        <v>0</v>
      </c>
    </row>
    <row r="72" spans="1:5" ht="26.25" x14ac:dyDescent="0.4">
      <c r="A72" s="99">
        <v>6</v>
      </c>
      <c r="B72" s="99" t="s">
        <v>365</v>
      </c>
      <c r="C72" s="87">
        <f>'Office Major'!C251</f>
        <v>1</v>
      </c>
      <c r="D72" s="87">
        <f>'Office Minor'!C839</f>
        <v>171</v>
      </c>
      <c r="E72" s="87">
        <f>QL!D12</f>
        <v>8</v>
      </c>
    </row>
    <row r="73" spans="1:5" ht="27.75" x14ac:dyDescent="0.4">
      <c r="A73" s="1335" t="s">
        <v>50</v>
      </c>
      <c r="B73" s="1336"/>
      <c r="C73" s="88">
        <f>SUM(C67:C72)</f>
        <v>9</v>
      </c>
      <c r="D73" s="88">
        <f>SUM(D67:D72)</f>
        <v>1216</v>
      </c>
      <c r="E73" s="88">
        <f>SUM(E67:E72)</f>
        <v>8</v>
      </c>
    </row>
    <row r="74" spans="1:5" ht="30" x14ac:dyDescent="0.4">
      <c r="A74" s="1337"/>
      <c r="B74" s="1338"/>
      <c r="C74" s="1338"/>
      <c r="D74" s="1338"/>
      <c r="E74" s="1339"/>
    </row>
    <row r="75" spans="1:5" ht="30.75" x14ac:dyDescent="0.25">
      <c r="A75" s="1329" t="s">
        <v>366</v>
      </c>
      <c r="B75" s="1330"/>
      <c r="C75" s="89">
        <f>C14+C21+C28+C38+C46+C54+C60+C65+C73</f>
        <v>148</v>
      </c>
      <c r="D75" s="89">
        <f>D14+D21+D28+D38+D46+D54+D60+D65+D73</f>
        <v>17005</v>
      </c>
      <c r="E75" s="89">
        <f>E14+E21+E28+E38+E46+E54+E60+E65+E73</f>
        <v>17185</v>
      </c>
    </row>
    <row r="77" spans="1:5" ht="18.75" x14ac:dyDescent="0.3">
      <c r="B77" t="s">
        <v>77</v>
      </c>
      <c r="C77" s="669">
        <f>'Office Major'!C271</f>
        <v>148</v>
      </c>
      <c r="D77" s="670">
        <f>'Office Minor'!C870</f>
        <v>17005</v>
      </c>
      <c r="E77" s="669">
        <f>QL!D23</f>
        <v>17198</v>
      </c>
    </row>
    <row r="78" spans="1:5" ht="18.75" x14ac:dyDescent="0.3">
      <c r="B78" t="s">
        <v>478</v>
      </c>
      <c r="C78" s="669">
        <f>'Distt. Major Minerals'!C241</f>
        <v>148</v>
      </c>
      <c r="D78" s="670">
        <f>Distt.Minor!C634</f>
        <v>17005</v>
      </c>
      <c r="E78" s="669">
        <f>QL!D23</f>
        <v>17198</v>
      </c>
    </row>
    <row r="80" spans="1:5" x14ac:dyDescent="0.25">
      <c r="C80">
        <f>C75-C78</f>
        <v>0</v>
      </c>
      <c r="D80">
        <f>D75-D78</f>
        <v>0</v>
      </c>
      <c r="E80">
        <f>E75-E78</f>
        <v>-13</v>
      </c>
    </row>
  </sheetData>
  <mergeCells count="27">
    <mergeCell ref="A75:B75"/>
    <mergeCell ref="A1:E1"/>
    <mergeCell ref="A3:E3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  <mergeCell ref="E5:E6"/>
    <mergeCell ref="A28:B28"/>
    <mergeCell ref="A5:A6"/>
    <mergeCell ref="B5:B6"/>
    <mergeCell ref="C5:C6"/>
    <mergeCell ref="D5:D6"/>
    <mergeCell ref="C7:E7"/>
    <mergeCell ref="A14:B14"/>
    <mergeCell ref="C15:E15"/>
    <mergeCell ref="A21:B21"/>
    <mergeCell ref="C22:E22"/>
  </mergeCells>
  <pageMargins left="0.88" right="0.7" top="0.75" bottom="0.75" header="0.3" footer="0.3"/>
  <pageSetup scale="70" orientation="portrait" r:id="rId1"/>
  <rowBreaks count="1" manualBreakCount="1">
    <brk id="3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D20" sqref="D20"/>
    </sheetView>
  </sheetViews>
  <sheetFormatPr defaultColWidth="9.140625" defaultRowHeight="15" x14ac:dyDescent="0.25"/>
  <cols>
    <col min="1" max="1" width="5.85546875" style="123" customWidth="1"/>
    <col min="2" max="2" width="15.42578125" style="123" customWidth="1"/>
    <col min="3" max="3" width="11.5703125" style="123" customWidth="1"/>
    <col min="4" max="4" width="15.5703125" style="123" customWidth="1"/>
    <col min="5" max="5" width="12.7109375" style="123" customWidth="1"/>
    <col min="6" max="10" width="9.140625" style="123"/>
    <col min="11" max="11" width="14.42578125" style="123" customWidth="1"/>
    <col min="12" max="16384" width="9.140625" style="123"/>
  </cols>
  <sheetData>
    <row r="1" spans="1:5" ht="20.25" x14ac:dyDescent="0.3">
      <c r="A1" s="1340" t="s">
        <v>268</v>
      </c>
      <c r="B1" s="1340"/>
      <c r="C1" s="1340"/>
      <c r="D1" s="1340"/>
      <c r="E1" s="1340"/>
    </row>
    <row r="2" spans="1:5" x14ac:dyDescent="0.25">
      <c r="A2" s="1341" t="s">
        <v>367</v>
      </c>
      <c r="B2" s="1341"/>
      <c r="C2" s="1341"/>
      <c r="D2" s="1341"/>
      <c r="E2" s="1341"/>
    </row>
    <row r="3" spans="1:5" x14ac:dyDescent="0.25">
      <c r="A3" s="1341" t="str">
        <f>'Cerclewise  ML QL'!A2:E2</f>
        <v>Financial Year 2023-24</v>
      </c>
      <c r="B3" s="1341"/>
      <c r="C3" s="1341"/>
      <c r="D3" s="1341"/>
      <c r="E3" s="1341"/>
    </row>
    <row r="4" spans="1:5" x14ac:dyDescent="0.25">
      <c r="A4" s="154"/>
      <c r="B4" s="154"/>
      <c r="C4" s="154"/>
      <c r="D4" s="154"/>
      <c r="E4" s="154"/>
    </row>
    <row r="5" spans="1:5" x14ac:dyDescent="0.25">
      <c r="A5" s="1342" t="s">
        <v>2</v>
      </c>
      <c r="B5" s="1342" t="s">
        <v>270</v>
      </c>
      <c r="C5" s="1343" t="s">
        <v>368</v>
      </c>
      <c r="D5" s="1343"/>
      <c r="E5" s="1342" t="s">
        <v>50</v>
      </c>
    </row>
    <row r="6" spans="1:5" x14ac:dyDescent="0.25">
      <c r="A6" s="1342"/>
      <c r="B6" s="1342"/>
      <c r="C6" s="1342" t="s">
        <v>369</v>
      </c>
      <c r="D6" s="1342" t="s">
        <v>370</v>
      </c>
      <c r="E6" s="1342"/>
    </row>
    <row r="7" spans="1:5" x14ac:dyDescent="0.25">
      <c r="A7" s="1342"/>
      <c r="B7" s="1342"/>
      <c r="C7" s="1342"/>
      <c r="D7" s="1342"/>
      <c r="E7" s="1342"/>
    </row>
    <row r="8" spans="1:5" x14ac:dyDescent="0.25">
      <c r="A8" s="121">
        <v>1</v>
      </c>
      <c r="B8" s="121" t="s">
        <v>240</v>
      </c>
      <c r="C8" s="121">
        <f>Distt.Major!C17</f>
        <v>20</v>
      </c>
      <c r="D8" s="121">
        <f>Distt.Minor!C601</f>
        <v>1484</v>
      </c>
      <c r="E8" s="121">
        <f>C8+D8</f>
        <v>1504</v>
      </c>
    </row>
    <row r="9" spans="1:5" x14ac:dyDescent="0.25">
      <c r="A9" s="121">
        <v>2</v>
      </c>
      <c r="B9" s="121" t="s">
        <v>271</v>
      </c>
      <c r="C9" s="121">
        <f>Distt.Major!C24</f>
        <v>0</v>
      </c>
      <c r="D9" s="121">
        <f>Distt.Minor!C602</f>
        <v>330</v>
      </c>
      <c r="E9" s="121">
        <f t="shared" ref="E9:E40" si="0">C9+D9</f>
        <v>330</v>
      </c>
    </row>
    <row r="10" spans="1:5" x14ac:dyDescent="0.25">
      <c r="A10" s="121">
        <v>3</v>
      </c>
      <c r="B10" s="121" t="s">
        <v>242</v>
      </c>
      <c r="C10" s="121">
        <f>Distt.Major!C31</f>
        <v>2</v>
      </c>
      <c r="D10" s="121">
        <f>Distt.Minor!C603</f>
        <v>157</v>
      </c>
      <c r="E10" s="121">
        <f t="shared" si="0"/>
        <v>159</v>
      </c>
    </row>
    <row r="11" spans="1:5" x14ac:dyDescent="0.25">
      <c r="A11" s="121">
        <v>4</v>
      </c>
      <c r="B11" s="121" t="s">
        <v>282</v>
      </c>
      <c r="C11" s="121">
        <v>0</v>
      </c>
      <c r="D11" s="121">
        <f>Distt.Minor!C604</f>
        <v>48</v>
      </c>
      <c r="E11" s="121">
        <f t="shared" si="0"/>
        <v>48</v>
      </c>
    </row>
    <row r="12" spans="1:5" x14ac:dyDescent="0.25">
      <c r="A12" s="121">
        <v>5</v>
      </c>
      <c r="B12" s="121" t="s">
        <v>243</v>
      </c>
      <c r="C12" s="122">
        <f>Distt.Major!C39</f>
        <v>15</v>
      </c>
      <c r="D12" s="121">
        <f>Distt.Minor!C605</f>
        <v>531</v>
      </c>
      <c r="E12" s="121">
        <f t="shared" si="0"/>
        <v>546</v>
      </c>
    </row>
    <row r="13" spans="1:5" x14ac:dyDescent="0.25">
      <c r="A13" s="121">
        <v>6</v>
      </c>
      <c r="B13" s="121" t="s">
        <v>244</v>
      </c>
      <c r="C13" s="121">
        <v>0</v>
      </c>
      <c r="D13" s="121">
        <f>Distt.Minor!C606</f>
        <v>685</v>
      </c>
      <c r="E13" s="121">
        <f t="shared" si="0"/>
        <v>685</v>
      </c>
    </row>
    <row r="14" spans="1:5" x14ac:dyDescent="0.25">
      <c r="A14" s="121">
        <v>7</v>
      </c>
      <c r="B14" s="121" t="s">
        <v>245</v>
      </c>
      <c r="C14" s="121">
        <f>Distt.Major!C52</f>
        <v>11</v>
      </c>
      <c r="D14" s="121">
        <f>Distt.Minor!C607</f>
        <v>1511</v>
      </c>
      <c r="E14" s="121">
        <f t="shared" si="0"/>
        <v>1522</v>
      </c>
    </row>
    <row r="15" spans="1:5" x14ac:dyDescent="0.25">
      <c r="A15" s="121">
        <v>8</v>
      </c>
      <c r="B15" s="121" t="s">
        <v>246</v>
      </c>
      <c r="C15" s="121">
        <f>Distt.Major!C59</f>
        <v>3</v>
      </c>
      <c r="D15" s="121">
        <f>Distt.Minor!C608</f>
        <v>376</v>
      </c>
      <c r="E15" s="121">
        <f t="shared" si="0"/>
        <v>379</v>
      </c>
    </row>
    <row r="16" spans="1:5" x14ac:dyDescent="0.25">
      <c r="A16" s="121">
        <v>9</v>
      </c>
      <c r="B16" s="121" t="s">
        <v>247</v>
      </c>
      <c r="C16" s="121">
        <f>Distt.Major!C65</f>
        <v>1</v>
      </c>
      <c r="D16" s="121">
        <f>Distt.Minor!C609</f>
        <v>644</v>
      </c>
      <c r="E16" s="121">
        <f t="shared" si="0"/>
        <v>645</v>
      </c>
    </row>
    <row r="17" spans="1:5" x14ac:dyDescent="0.25">
      <c r="A17" s="121">
        <v>10</v>
      </c>
      <c r="B17" s="121" t="s">
        <v>248</v>
      </c>
      <c r="C17" s="121">
        <f>Distt.Major!C71</f>
        <v>12</v>
      </c>
      <c r="D17" s="121">
        <f>Distt.Minor!C610</f>
        <v>199</v>
      </c>
      <c r="E17" s="121">
        <f t="shared" si="0"/>
        <v>211</v>
      </c>
    </row>
    <row r="18" spans="1:5" x14ac:dyDescent="0.25">
      <c r="A18" s="121">
        <v>11</v>
      </c>
      <c r="B18" s="121" t="s">
        <v>284</v>
      </c>
      <c r="C18" s="121">
        <v>0</v>
      </c>
      <c r="D18" s="121">
        <f>Distt.Minor!C611</f>
        <v>179</v>
      </c>
      <c r="E18" s="121">
        <f t="shared" si="0"/>
        <v>179</v>
      </c>
    </row>
    <row r="19" spans="1:5" x14ac:dyDescent="0.25">
      <c r="A19" s="121">
        <v>12</v>
      </c>
      <c r="B19" s="121" t="s">
        <v>249</v>
      </c>
      <c r="C19" s="121">
        <f>Distt.Major!C77</f>
        <v>1</v>
      </c>
      <c r="D19" s="121">
        <f>Distt.Minor!C612</f>
        <v>123</v>
      </c>
      <c r="E19" s="121">
        <f t="shared" si="0"/>
        <v>124</v>
      </c>
    </row>
    <row r="20" spans="1:5" x14ac:dyDescent="0.25">
      <c r="A20" s="121">
        <v>13</v>
      </c>
      <c r="B20" s="121" t="s">
        <v>285</v>
      </c>
      <c r="C20" s="121">
        <v>0</v>
      </c>
      <c r="D20" s="121">
        <f>Distt.Minor!C613</f>
        <v>137</v>
      </c>
      <c r="E20" s="121">
        <f t="shared" si="0"/>
        <v>137</v>
      </c>
    </row>
    <row r="21" spans="1:5" x14ac:dyDescent="0.25">
      <c r="A21" s="121">
        <v>14</v>
      </c>
      <c r="B21" s="121" t="s">
        <v>250</v>
      </c>
      <c r="C21" s="121">
        <f>Distt.Major!C83</f>
        <v>1</v>
      </c>
      <c r="D21" s="121">
        <f>Distt.Minor!C614</f>
        <v>171</v>
      </c>
      <c r="E21" s="121">
        <f t="shared" si="0"/>
        <v>172</v>
      </c>
    </row>
    <row r="22" spans="1:5" x14ac:dyDescent="0.25">
      <c r="A22" s="121">
        <v>15</v>
      </c>
      <c r="B22" s="121" t="s">
        <v>251</v>
      </c>
      <c r="C22" s="121">
        <v>0</v>
      </c>
      <c r="D22" s="121">
        <f>Distt.Minor!C615</f>
        <v>80</v>
      </c>
      <c r="E22" s="121">
        <f t="shared" si="0"/>
        <v>80</v>
      </c>
    </row>
    <row r="23" spans="1:5" x14ac:dyDescent="0.25">
      <c r="A23" s="121">
        <v>16</v>
      </c>
      <c r="B23" s="121" t="s">
        <v>252</v>
      </c>
      <c r="C23" s="121">
        <f>Distt.Major!C93</f>
        <v>8</v>
      </c>
      <c r="D23" s="121">
        <f>Distt.Minor!C616</f>
        <v>1169</v>
      </c>
      <c r="E23" s="121">
        <f t="shared" si="0"/>
        <v>1177</v>
      </c>
    </row>
    <row r="24" spans="1:5" x14ac:dyDescent="0.25">
      <c r="A24" s="121">
        <v>17</v>
      </c>
      <c r="B24" s="121" t="s">
        <v>272</v>
      </c>
      <c r="C24" s="121">
        <f>Distt.Major!C100</f>
        <v>13</v>
      </c>
      <c r="D24" s="121">
        <f>Distt.Minor!C617</f>
        <v>481</v>
      </c>
      <c r="E24" s="121">
        <f t="shared" si="0"/>
        <v>494</v>
      </c>
    </row>
    <row r="25" spans="1:5" x14ac:dyDescent="0.25">
      <c r="A25" s="121">
        <v>18</v>
      </c>
      <c r="B25" s="121" t="s">
        <v>255</v>
      </c>
      <c r="C25" s="121">
        <f>Distt.Major!C106</f>
        <v>5</v>
      </c>
      <c r="D25" s="121">
        <f>Distt.Minor!C618</f>
        <v>615</v>
      </c>
      <c r="E25" s="121">
        <f t="shared" si="0"/>
        <v>620</v>
      </c>
    </row>
    <row r="26" spans="1:5" x14ac:dyDescent="0.25">
      <c r="A26" s="121">
        <v>19</v>
      </c>
      <c r="B26" s="121" t="s">
        <v>286</v>
      </c>
      <c r="C26" s="121">
        <v>0</v>
      </c>
      <c r="D26" s="121">
        <f>Distt.Minor!C619</f>
        <v>153</v>
      </c>
      <c r="E26" s="121">
        <f t="shared" si="0"/>
        <v>153</v>
      </c>
    </row>
    <row r="27" spans="1:5" x14ac:dyDescent="0.25">
      <c r="A27" s="121">
        <v>20</v>
      </c>
      <c r="B27" s="121" t="s">
        <v>256</v>
      </c>
      <c r="C27" s="121">
        <f>Distt.Major!C114</f>
        <v>10</v>
      </c>
      <c r="D27" s="121">
        <f>Distt.Minor!C620</f>
        <v>439</v>
      </c>
      <c r="E27" s="121">
        <f t="shared" si="0"/>
        <v>449</v>
      </c>
    </row>
    <row r="28" spans="1:5" x14ac:dyDescent="0.25">
      <c r="A28" s="121">
        <v>21</v>
      </c>
      <c r="B28" s="121" t="s">
        <v>257</v>
      </c>
      <c r="C28" s="121">
        <f>Distt.Major!C121</f>
        <v>1</v>
      </c>
      <c r="D28" s="121">
        <f>Distt.Minor!C621</f>
        <v>617</v>
      </c>
      <c r="E28" s="121">
        <f t="shared" si="0"/>
        <v>618</v>
      </c>
    </row>
    <row r="29" spans="1:5" x14ac:dyDescent="0.25">
      <c r="A29" s="121">
        <v>22</v>
      </c>
      <c r="B29" s="121" t="s">
        <v>273</v>
      </c>
      <c r="C29" s="122">
        <v>0</v>
      </c>
      <c r="D29" s="121">
        <f>Distt.Minor!C622</f>
        <v>271</v>
      </c>
      <c r="E29" s="121">
        <f t="shared" si="0"/>
        <v>271</v>
      </c>
    </row>
    <row r="30" spans="1:5" x14ac:dyDescent="0.25">
      <c r="A30" s="121">
        <v>23</v>
      </c>
      <c r="B30" s="121" t="s">
        <v>274</v>
      </c>
      <c r="C30" s="122">
        <f>Distt.Major!C127</f>
        <v>1</v>
      </c>
      <c r="D30" s="121">
        <f>Distt.Minor!C623</f>
        <v>151</v>
      </c>
      <c r="E30" s="121">
        <f t="shared" si="0"/>
        <v>152</v>
      </c>
    </row>
    <row r="31" spans="1:5" x14ac:dyDescent="0.25">
      <c r="A31" s="121">
        <v>24</v>
      </c>
      <c r="B31" s="121" t="s">
        <v>259</v>
      </c>
      <c r="C31" s="121">
        <f>Distt.Major!C135</f>
        <v>10</v>
      </c>
      <c r="D31" s="121">
        <f>Distt.Minor!C624</f>
        <v>1209</v>
      </c>
      <c r="E31" s="121">
        <f t="shared" si="0"/>
        <v>1219</v>
      </c>
    </row>
    <row r="32" spans="1:5" x14ac:dyDescent="0.25">
      <c r="A32" s="121">
        <v>25</v>
      </c>
      <c r="B32" s="121" t="s">
        <v>260</v>
      </c>
      <c r="C32" s="121">
        <f>Distt.Major!C143</f>
        <v>8</v>
      </c>
      <c r="D32" s="121">
        <f>Distt.Minor!C625</f>
        <v>596</v>
      </c>
      <c r="E32" s="121">
        <f t="shared" si="0"/>
        <v>604</v>
      </c>
    </row>
    <row r="33" spans="1:5" x14ac:dyDescent="0.25">
      <c r="A33" s="121">
        <v>26</v>
      </c>
      <c r="B33" s="121" t="s">
        <v>261</v>
      </c>
      <c r="C33" s="122">
        <v>0</v>
      </c>
      <c r="D33" s="121">
        <f>Distt.Minor!C626</f>
        <v>125</v>
      </c>
      <c r="E33" s="121">
        <f t="shared" si="0"/>
        <v>125</v>
      </c>
    </row>
    <row r="34" spans="1:5" x14ac:dyDescent="0.25">
      <c r="A34" s="121">
        <v>27</v>
      </c>
      <c r="B34" s="121" t="s">
        <v>275</v>
      </c>
      <c r="C34" s="121">
        <f>Distt.Major!C154</f>
        <v>4</v>
      </c>
      <c r="D34" s="121">
        <f>Distt.Minor!C627</f>
        <v>2225</v>
      </c>
      <c r="E34" s="121">
        <f t="shared" si="0"/>
        <v>2229</v>
      </c>
    </row>
    <row r="35" spans="1:5" x14ac:dyDescent="0.25">
      <c r="A35" s="121">
        <v>28</v>
      </c>
      <c r="B35" s="121" t="s">
        <v>276</v>
      </c>
      <c r="C35" s="121">
        <v>0</v>
      </c>
      <c r="D35" s="121">
        <f>Distt.Minor!C628</f>
        <v>50</v>
      </c>
      <c r="E35" s="121">
        <f t="shared" si="0"/>
        <v>50</v>
      </c>
    </row>
    <row r="36" spans="1:5" x14ac:dyDescent="0.25">
      <c r="A36" s="121">
        <v>29</v>
      </c>
      <c r="B36" s="121" t="s">
        <v>277</v>
      </c>
      <c r="C36" s="121">
        <v>0</v>
      </c>
      <c r="D36" s="121">
        <f>Distt.Minor!C629</f>
        <v>8</v>
      </c>
      <c r="E36" s="121">
        <f t="shared" si="0"/>
        <v>8</v>
      </c>
    </row>
    <row r="37" spans="1:5" x14ac:dyDescent="0.25">
      <c r="A37" s="121">
        <v>30</v>
      </c>
      <c r="B37" s="121" t="s">
        <v>264</v>
      </c>
      <c r="C37" s="121">
        <f>Distt.Major!C219</f>
        <v>3</v>
      </c>
      <c r="D37" s="121">
        <f>Distt.Minor!C630</f>
        <v>668</v>
      </c>
      <c r="E37" s="121">
        <f t="shared" si="0"/>
        <v>671</v>
      </c>
    </row>
    <row r="38" spans="1:5" x14ac:dyDescent="0.25">
      <c r="A38" s="121">
        <v>31</v>
      </c>
      <c r="B38" s="121" t="s">
        <v>265</v>
      </c>
      <c r="C38" s="121">
        <f>Distt.Major!C170</f>
        <v>8</v>
      </c>
      <c r="D38" s="121">
        <f>Distt.Minor!C631</f>
        <v>441</v>
      </c>
      <c r="E38" s="121">
        <f t="shared" si="0"/>
        <v>449</v>
      </c>
    </row>
    <row r="39" spans="1:5" x14ac:dyDescent="0.25">
      <c r="A39" s="121">
        <v>32</v>
      </c>
      <c r="B39" s="121" t="s">
        <v>278</v>
      </c>
      <c r="C39" s="121">
        <f>Distt.Major!C176</f>
        <v>5</v>
      </c>
      <c r="D39" s="121">
        <f>Distt.Minor!C632</f>
        <v>369</v>
      </c>
      <c r="E39" s="121">
        <f t="shared" si="0"/>
        <v>374</v>
      </c>
    </row>
    <row r="40" spans="1:5" x14ac:dyDescent="0.25">
      <c r="A40" s="121">
        <v>33</v>
      </c>
      <c r="B40" s="121" t="s">
        <v>267</v>
      </c>
      <c r="C40" s="121">
        <f>Distt.Major!C192</f>
        <v>6</v>
      </c>
      <c r="D40" s="121">
        <f>Distt.Minor!C633</f>
        <v>763</v>
      </c>
      <c r="E40" s="121">
        <f t="shared" si="0"/>
        <v>769</v>
      </c>
    </row>
    <row r="41" spans="1:5" x14ac:dyDescent="0.25">
      <c r="A41" s="155"/>
      <c r="B41" s="158" t="s">
        <v>237</v>
      </c>
      <c r="C41" s="158">
        <f>SUM(C8:C40)</f>
        <v>148</v>
      </c>
      <c r="D41" s="158">
        <f t="shared" ref="D41:E41" si="1">SUM(D8:D40)</f>
        <v>17005</v>
      </c>
      <c r="E41" s="158">
        <f t="shared" si="1"/>
        <v>17153</v>
      </c>
    </row>
    <row r="43" spans="1:5" x14ac:dyDescent="0.25">
      <c r="C43" s="148">
        <f>'Distt. Major Minerals'!C241</f>
        <v>148</v>
      </c>
      <c r="D43" s="534">
        <f>'Distt. Minor Minerals'!C676</f>
        <v>17005</v>
      </c>
      <c r="E43" s="534">
        <f>C43+D43</f>
        <v>17153</v>
      </c>
    </row>
    <row r="45" spans="1:5" x14ac:dyDescent="0.25">
      <c r="C45" s="123">
        <f>C41-C43</f>
        <v>0</v>
      </c>
      <c r="D45" s="123">
        <f t="shared" ref="D45:E45" si="2">D41-D43</f>
        <v>0</v>
      </c>
      <c r="E45" s="123">
        <f t="shared" si="2"/>
        <v>0</v>
      </c>
    </row>
  </sheetData>
  <mergeCells count="9">
    <mergeCell ref="A1:E1"/>
    <mergeCell ref="A2:E2"/>
    <mergeCell ref="A3:E3"/>
    <mergeCell ref="A5:A7"/>
    <mergeCell ref="B5:B7"/>
    <mergeCell ref="C5:D5"/>
    <mergeCell ref="E5:E7"/>
    <mergeCell ref="C6:C7"/>
    <mergeCell ref="D6:D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7" workbookViewId="0">
      <selection activeCell="D8" sqref="D8"/>
    </sheetView>
  </sheetViews>
  <sheetFormatPr defaultRowHeight="15" x14ac:dyDescent="0.25"/>
  <cols>
    <col min="1" max="1" width="9.140625" customWidth="1"/>
    <col min="2" max="2" width="39.85546875" customWidth="1"/>
    <col min="3" max="5" width="25.7109375" bestFit="1" customWidth="1"/>
  </cols>
  <sheetData>
    <row r="1" spans="1:5" ht="27" x14ac:dyDescent="0.25">
      <c r="A1" s="1311" t="s">
        <v>180</v>
      </c>
      <c r="B1" s="1311"/>
      <c r="C1" s="1311"/>
      <c r="D1" s="1311"/>
      <c r="E1" s="1311"/>
    </row>
    <row r="2" spans="1:5" ht="27" x14ac:dyDescent="0.25">
      <c r="A2" s="1331" t="str">
        <f>'Distt. Lease'!A3:E3</f>
        <v>Financial Year 2023-24</v>
      </c>
      <c r="B2" s="1331"/>
      <c r="C2" s="1331"/>
      <c r="D2" s="1331"/>
      <c r="E2" s="1331"/>
    </row>
    <row r="3" spans="1:5" ht="25.5" x14ac:dyDescent="0.25">
      <c r="A3" s="1346" t="s">
        <v>8</v>
      </c>
      <c r="B3" s="1346"/>
      <c r="C3" s="1346"/>
      <c r="D3" s="1346"/>
      <c r="E3" s="1346"/>
    </row>
    <row r="5" spans="1:5" ht="30.75" customHeight="1" x14ac:dyDescent="0.25">
      <c r="A5" s="1347" t="s">
        <v>303</v>
      </c>
      <c r="B5" s="1349" t="s">
        <v>304</v>
      </c>
      <c r="C5" s="1313" t="s">
        <v>371</v>
      </c>
      <c r="D5" s="1313" t="s">
        <v>372</v>
      </c>
      <c r="E5" s="1313" t="s">
        <v>373</v>
      </c>
    </row>
    <row r="6" spans="1:5" ht="36" customHeight="1" x14ac:dyDescent="0.25">
      <c r="A6" s="1348"/>
      <c r="B6" s="1349"/>
      <c r="C6" s="1314"/>
      <c r="D6" s="1314"/>
      <c r="E6" s="1314"/>
    </row>
    <row r="7" spans="1:5" ht="30.75" x14ac:dyDescent="0.45">
      <c r="A7" s="81">
        <v>1</v>
      </c>
      <c r="B7" s="82" t="s">
        <v>308</v>
      </c>
      <c r="C7" s="1320"/>
      <c r="D7" s="1321"/>
      <c r="E7" s="1322"/>
    </row>
    <row r="8" spans="1:5" ht="23.25" x14ac:dyDescent="0.35">
      <c r="A8" s="92">
        <v>1</v>
      </c>
      <c r="B8" s="93" t="s">
        <v>309</v>
      </c>
      <c r="C8" s="156">
        <f>'Office Major'!G21</f>
        <v>781772993</v>
      </c>
      <c r="D8" s="156">
        <f>'Office Minor'!G37</f>
        <v>713181243</v>
      </c>
      <c r="E8" s="107">
        <f>C8+D8</f>
        <v>1494954236</v>
      </c>
    </row>
    <row r="9" spans="1:5" ht="23.25" x14ac:dyDescent="0.35">
      <c r="A9" s="92">
        <v>2</v>
      </c>
      <c r="B9" s="93" t="s">
        <v>310</v>
      </c>
      <c r="C9" s="156">
        <v>0</v>
      </c>
      <c r="D9" s="107">
        <f>'Office Minor'!G851</f>
        <v>523026000</v>
      </c>
      <c r="E9" s="107">
        <f t="shared" ref="E9:E13" si="0">C9+D9</f>
        <v>523026000</v>
      </c>
    </row>
    <row r="10" spans="1:5" ht="23.25" x14ac:dyDescent="0.35">
      <c r="A10" s="92">
        <v>3</v>
      </c>
      <c r="B10" s="93" t="s">
        <v>311</v>
      </c>
      <c r="C10" s="156">
        <f>'Office Major'!G157</f>
        <v>406145765</v>
      </c>
      <c r="D10" s="107">
        <f>'Office Minor'!G852</f>
        <v>1813892687</v>
      </c>
      <c r="E10" s="107">
        <f t="shared" si="0"/>
        <v>2220038452</v>
      </c>
    </row>
    <row r="11" spans="1:5" ht="23.25" x14ac:dyDescent="0.35">
      <c r="A11" s="93">
        <v>4</v>
      </c>
      <c r="B11" s="93" t="s">
        <v>312</v>
      </c>
      <c r="C11" s="156">
        <f>'Office Major'!G51</f>
        <v>232181488</v>
      </c>
      <c r="D11" s="156">
        <f>'Office Minor'!G828</f>
        <v>472245072</v>
      </c>
      <c r="E11" s="107">
        <f t="shared" si="0"/>
        <v>704426560</v>
      </c>
    </row>
    <row r="12" spans="1:5" ht="23.25" x14ac:dyDescent="0.35">
      <c r="A12" s="93">
        <v>5</v>
      </c>
      <c r="B12" s="93" t="s">
        <v>313</v>
      </c>
      <c r="C12" s="156">
        <f>'Office Major'!G96</f>
        <v>88602209</v>
      </c>
      <c r="D12" s="107">
        <f>'Office Minor'!G840</f>
        <v>559012018</v>
      </c>
      <c r="E12" s="107">
        <f t="shared" si="0"/>
        <v>647614227</v>
      </c>
    </row>
    <row r="13" spans="1:5" ht="23.25" x14ac:dyDescent="0.35">
      <c r="A13" s="93">
        <v>6</v>
      </c>
      <c r="B13" s="93" t="s">
        <v>314</v>
      </c>
      <c r="C13" s="157">
        <f>'Office Major'!G194</f>
        <v>0</v>
      </c>
      <c r="D13" s="107">
        <f>'Office Minor'!G862</f>
        <v>956410478</v>
      </c>
      <c r="E13" s="107">
        <f t="shared" si="0"/>
        <v>956410478</v>
      </c>
    </row>
    <row r="14" spans="1:5" ht="23.25" x14ac:dyDescent="0.35">
      <c r="A14" s="1344" t="s">
        <v>50</v>
      </c>
      <c r="B14" s="1345"/>
      <c r="C14" s="108">
        <f>SUM(C8:C13)</f>
        <v>1508702455</v>
      </c>
      <c r="D14" s="108">
        <f>SUM(D8:D13)</f>
        <v>5037767498</v>
      </c>
      <c r="E14" s="108">
        <f>SUM(E8:E13)</f>
        <v>6546469953</v>
      </c>
    </row>
    <row r="15" spans="1:5" ht="23.25" x14ac:dyDescent="0.35">
      <c r="A15" s="95">
        <v>2</v>
      </c>
      <c r="B15" s="90" t="s">
        <v>315</v>
      </c>
      <c r="C15" s="1323"/>
      <c r="D15" s="1324"/>
      <c r="E15" s="1325"/>
    </row>
    <row r="16" spans="1:5" ht="23.25" x14ac:dyDescent="0.35">
      <c r="A16" s="93">
        <v>1</v>
      </c>
      <c r="B16" s="93" t="s">
        <v>316</v>
      </c>
      <c r="C16" s="109">
        <v>0</v>
      </c>
      <c r="D16" s="110">
        <f>'Office Minor'!G830</f>
        <v>1033580608</v>
      </c>
      <c r="E16" s="110">
        <f>C16+D16</f>
        <v>1033580608</v>
      </c>
    </row>
    <row r="17" spans="1:5" ht="23.25" x14ac:dyDescent="0.35">
      <c r="A17" s="93">
        <v>2</v>
      </c>
      <c r="B17" s="93" t="s">
        <v>317</v>
      </c>
      <c r="C17" s="110"/>
      <c r="D17" s="110">
        <f>'Office Minor'!G838</f>
        <v>118828339.7</v>
      </c>
      <c r="E17" s="110">
        <f t="shared" ref="E17:E20" si="1">C17+D17</f>
        <v>118828339.7</v>
      </c>
    </row>
    <row r="18" spans="1:5" ht="23.25" x14ac:dyDescent="0.35">
      <c r="A18" s="93">
        <v>3</v>
      </c>
      <c r="B18" s="93" t="s">
        <v>318</v>
      </c>
      <c r="C18" s="110">
        <v>0</v>
      </c>
      <c r="D18" s="110">
        <f>'Office Minor'!G848</f>
        <v>436652501</v>
      </c>
      <c r="E18" s="110">
        <f t="shared" si="1"/>
        <v>436652501</v>
      </c>
    </row>
    <row r="19" spans="1:5" ht="23.25" x14ac:dyDescent="0.35">
      <c r="A19" s="96">
        <v>4</v>
      </c>
      <c r="B19" s="93" t="s">
        <v>319</v>
      </c>
      <c r="C19" s="110">
        <v>0</v>
      </c>
      <c r="D19" s="110">
        <f>'Office Minor'!G860</f>
        <v>311593669</v>
      </c>
      <c r="E19" s="110">
        <f t="shared" si="1"/>
        <v>311593669</v>
      </c>
    </row>
    <row r="20" spans="1:5" ht="23.25" x14ac:dyDescent="0.35">
      <c r="A20" s="96">
        <v>5</v>
      </c>
      <c r="B20" s="92" t="s">
        <v>320</v>
      </c>
      <c r="C20" s="156">
        <v>0</v>
      </c>
      <c r="D20" s="156">
        <f>'Office Minor'!G861</f>
        <v>233017111</v>
      </c>
      <c r="E20" s="110">
        <f t="shared" si="1"/>
        <v>233017111</v>
      </c>
    </row>
    <row r="21" spans="1:5" ht="23.25" x14ac:dyDescent="0.35">
      <c r="A21" s="1344" t="s">
        <v>50</v>
      </c>
      <c r="B21" s="1345"/>
      <c r="C21" s="108">
        <f>SUM(C16:C20)</f>
        <v>0</v>
      </c>
      <c r="D21" s="108">
        <f>SUM(D16:D20)</f>
        <v>2133672228.7</v>
      </c>
      <c r="E21" s="108">
        <f>SUM(E16:E20)</f>
        <v>2133672228.7</v>
      </c>
    </row>
    <row r="22" spans="1:5" ht="23.25" x14ac:dyDescent="0.35">
      <c r="A22" s="94">
        <v>3</v>
      </c>
      <c r="B22" s="94" t="s">
        <v>321</v>
      </c>
      <c r="C22" s="1326"/>
      <c r="D22" s="1327"/>
      <c r="E22" s="1328"/>
    </row>
    <row r="23" spans="1:5" ht="23.25" x14ac:dyDescent="0.35">
      <c r="A23" s="93">
        <v>1</v>
      </c>
      <c r="B23" s="93" t="s">
        <v>322</v>
      </c>
      <c r="C23" s="159">
        <f>'Office Major'!G249</f>
        <v>411726221</v>
      </c>
      <c r="D23" s="110">
        <f>'Office Minor'!G832</f>
        <v>1811272232</v>
      </c>
      <c r="E23" s="110">
        <f>C23+D23</f>
        <v>2222998453</v>
      </c>
    </row>
    <row r="24" spans="1:5" ht="23.25" x14ac:dyDescent="0.35">
      <c r="A24" s="93">
        <v>2</v>
      </c>
      <c r="B24" s="93" t="s">
        <v>323</v>
      </c>
      <c r="C24" s="110">
        <f>'Office Major'!G255</f>
        <v>338924732</v>
      </c>
      <c r="D24" s="110">
        <f>'Office Minor'!G842</f>
        <v>654958962</v>
      </c>
      <c r="E24" s="110">
        <f t="shared" ref="E24:E27" si="2">C24+D24</f>
        <v>993883694</v>
      </c>
    </row>
    <row r="25" spans="1:5" ht="23.25" x14ac:dyDescent="0.35">
      <c r="A25" s="93">
        <v>3</v>
      </c>
      <c r="B25" s="93" t="s">
        <v>324</v>
      </c>
      <c r="C25" s="110">
        <v>0</v>
      </c>
      <c r="D25" s="110">
        <f>'Office Minor'!G867</f>
        <v>321699463</v>
      </c>
      <c r="E25" s="110">
        <f t="shared" si="2"/>
        <v>321699463</v>
      </c>
    </row>
    <row r="26" spans="1:5" ht="23.25" x14ac:dyDescent="0.35">
      <c r="A26" s="93">
        <v>4</v>
      </c>
      <c r="B26" s="92" t="s">
        <v>325</v>
      </c>
      <c r="C26" s="110">
        <v>0</v>
      </c>
      <c r="D26" s="110">
        <f>'Office Minor'!G835</f>
        <v>478303457</v>
      </c>
      <c r="E26" s="110">
        <f t="shared" si="2"/>
        <v>478303457</v>
      </c>
    </row>
    <row r="27" spans="1:5" ht="23.25" x14ac:dyDescent="0.35">
      <c r="A27" s="93">
        <v>5</v>
      </c>
      <c r="B27" s="92" t="s">
        <v>326</v>
      </c>
      <c r="C27" s="159">
        <v>0</v>
      </c>
      <c r="D27" s="159">
        <f>'Office Minor'!G841</f>
        <v>330418070</v>
      </c>
      <c r="E27" s="110">
        <f t="shared" si="2"/>
        <v>330418070</v>
      </c>
    </row>
    <row r="28" spans="1:5" ht="23.25" x14ac:dyDescent="0.35">
      <c r="A28" s="1344" t="s">
        <v>50</v>
      </c>
      <c r="B28" s="1345"/>
      <c r="C28" s="108">
        <f>SUM(C23:C27)</f>
        <v>750650953</v>
      </c>
      <c r="D28" s="108">
        <f>SUM(D23:D27)</f>
        <v>3596652184</v>
      </c>
      <c r="E28" s="108">
        <f>SUM(E23:E27)</f>
        <v>4347303137</v>
      </c>
    </row>
    <row r="29" spans="1:5" ht="23.25" x14ac:dyDescent="0.35">
      <c r="A29" s="94">
        <v>4</v>
      </c>
      <c r="B29" s="94" t="s">
        <v>327</v>
      </c>
      <c r="C29" s="110"/>
      <c r="D29" s="110"/>
      <c r="E29" s="110"/>
    </row>
    <row r="30" spans="1:5" ht="23.25" x14ac:dyDescent="0.35">
      <c r="A30" s="93">
        <v>1</v>
      </c>
      <c r="B30" s="93" t="s">
        <v>328</v>
      </c>
      <c r="C30" s="110">
        <f>'Office Major'!G254</f>
        <v>2202581</v>
      </c>
      <c r="D30" s="110">
        <f>'Office Minor'!G843</f>
        <v>1107723417.45</v>
      </c>
      <c r="E30" s="110">
        <f>C30+D30</f>
        <v>1109925998.45</v>
      </c>
    </row>
    <row r="31" spans="1:5" ht="23.25" x14ac:dyDescent="0.35">
      <c r="A31" s="93">
        <v>2</v>
      </c>
      <c r="B31" s="93" t="s">
        <v>329</v>
      </c>
      <c r="C31" s="110">
        <v>0</v>
      </c>
      <c r="D31" s="110">
        <f>'Office Minor'!G863</f>
        <v>417042448</v>
      </c>
      <c r="E31" s="110">
        <f t="shared" ref="E31:E37" si="3">C31+D31</f>
        <v>417042448</v>
      </c>
    </row>
    <row r="32" spans="1:5" ht="23.25" x14ac:dyDescent="0.35">
      <c r="A32" s="93">
        <v>3</v>
      </c>
      <c r="B32" s="93" t="s">
        <v>330</v>
      </c>
      <c r="C32" s="110">
        <f>'Office Major'!G244</f>
        <v>0</v>
      </c>
      <c r="D32" s="110">
        <f>'Office Minor'!G823</f>
        <v>1232893272</v>
      </c>
      <c r="E32" s="110">
        <f t="shared" si="3"/>
        <v>1232893272</v>
      </c>
    </row>
    <row r="33" spans="1:5" ht="23.25" x14ac:dyDescent="0.35">
      <c r="A33" s="93">
        <v>4</v>
      </c>
      <c r="B33" s="97" t="s">
        <v>331</v>
      </c>
      <c r="C33" s="159">
        <f>'Office Major'!G258</f>
        <v>582719000</v>
      </c>
      <c r="D33" s="159">
        <f>'Office Minor'!G846</f>
        <v>1178481000</v>
      </c>
      <c r="E33" s="110">
        <f t="shared" si="3"/>
        <v>1761200000</v>
      </c>
    </row>
    <row r="34" spans="1:5" ht="23.25" x14ac:dyDescent="0.35">
      <c r="A34" s="93">
        <v>5</v>
      </c>
      <c r="B34" s="93" t="s">
        <v>332</v>
      </c>
      <c r="C34" s="110">
        <f>'Office Major'!G252</f>
        <v>0</v>
      </c>
      <c r="D34" s="159">
        <f>'Office Minor'!G837</f>
        <v>262415251</v>
      </c>
      <c r="E34" s="110">
        <f t="shared" si="3"/>
        <v>262415251</v>
      </c>
    </row>
    <row r="35" spans="1:5" ht="23.25" x14ac:dyDescent="0.35">
      <c r="A35" s="93">
        <v>6</v>
      </c>
      <c r="B35" s="93" t="s">
        <v>333</v>
      </c>
      <c r="C35" s="159">
        <f>'Office Major'!G262</f>
        <v>13537417</v>
      </c>
      <c r="D35" s="159">
        <f>'Office Minor'!G853</f>
        <v>887119560</v>
      </c>
      <c r="E35" s="110">
        <f t="shared" si="3"/>
        <v>900656977</v>
      </c>
    </row>
    <row r="36" spans="1:5" ht="23.25" x14ac:dyDescent="0.35">
      <c r="A36" s="93">
        <v>7</v>
      </c>
      <c r="B36" s="93" t="s">
        <v>334</v>
      </c>
      <c r="C36" s="159">
        <f>'Office Major'!G260</f>
        <v>375004199</v>
      </c>
      <c r="D36" s="110">
        <f>'Office Minor'!G850</f>
        <v>760486822</v>
      </c>
      <c r="E36" s="110">
        <f t="shared" si="3"/>
        <v>1135491021</v>
      </c>
    </row>
    <row r="37" spans="1:5" ht="23.25" x14ac:dyDescent="0.35">
      <c r="A37" s="93">
        <v>8</v>
      </c>
      <c r="B37" s="93" t="s">
        <v>335</v>
      </c>
      <c r="C37" s="110">
        <f>'Office Major'!G269</f>
        <v>150000</v>
      </c>
      <c r="D37" s="110">
        <f>'Office Minor'!G868</f>
        <v>807956559</v>
      </c>
      <c r="E37" s="110">
        <f t="shared" si="3"/>
        <v>808106559</v>
      </c>
    </row>
    <row r="38" spans="1:5" ht="23.25" x14ac:dyDescent="0.35">
      <c r="A38" s="1344" t="s">
        <v>50</v>
      </c>
      <c r="B38" s="1345"/>
      <c r="C38" s="108">
        <f>SUM(C30:C37)</f>
        <v>973613197</v>
      </c>
      <c r="D38" s="108">
        <f>SUM(D30:D37)</f>
        <v>6654118329.4499998</v>
      </c>
      <c r="E38" s="108">
        <f>SUM(E30:E37)</f>
        <v>7627731526.4499998</v>
      </c>
    </row>
    <row r="39" spans="1:5" ht="23.25" x14ac:dyDescent="0.35">
      <c r="A39" s="94">
        <v>5</v>
      </c>
      <c r="B39" s="94" t="s">
        <v>336</v>
      </c>
      <c r="C39" s="1326"/>
      <c r="D39" s="1327"/>
      <c r="E39" s="1328"/>
    </row>
    <row r="40" spans="1:5" ht="23.25" x14ac:dyDescent="0.35">
      <c r="A40" s="93">
        <v>1</v>
      </c>
      <c r="B40" s="93" t="s">
        <v>337</v>
      </c>
      <c r="C40" s="110">
        <f>'Office Major'!G259</f>
        <v>72000000</v>
      </c>
      <c r="D40" s="110">
        <f>'Office Minor'!G849</f>
        <v>331071149</v>
      </c>
      <c r="E40" s="110">
        <f>C40+D40</f>
        <v>403071149</v>
      </c>
    </row>
    <row r="41" spans="1:5" ht="23.25" x14ac:dyDescent="0.35">
      <c r="A41" s="93">
        <v>2</v>
      </c>
      <c r="B41" s="93" t="s">
        <v>338</v>
      </c>
      <c r="C41" s="110">
        <f>'Office Major'!G265</f>
        <v>256000000</v>
      </c>
      <c r="D41" s="110">
        <f>'Office Minor'!G858</f>
        <v>777544863</v>
      </c>
      <c r="E41" s="110">
        <f t="shared" ref="E41:E45" si="4">C41+D41</f>
        <v>1033544863</v>
      </c>
    </row>
    <row r="42" spans="1:5" ht="23.25" x14ac:dyDescent="0.35">
      <c r="A42" s="93">
        <v>3</v>
      </c>
      <c r="B42" s="93" t="s">
        <v>339</v>
      </c>
      <c r="C42" s="110">
        <v>0</v>
      </c>
      <c r="D42" s="110">
        <f>'Office Minor'!G833</f>
        <v>480984809</v>
      </c>
      <c r="E42" s="110">
        <f t="shared" si="4"/>
        <v>480984809</v>
      </c>
    </row>
    <row r="43" spans="1:5" ht="23.25" x14ac:dyDescent="0.35">
      <c r="A43" s="93">
        <v>4</v>
      </c>
      <c r="B43" s="93" t="s">
        <v>340</v>
      </c>
      <c r="C43" s="110">
        <v>0</v>
      </c>
      <c r="D43" s="110">
        <f>'Office Minor'!G834</f>
        <v>138907392</v>
      </c>
      <c r="E43" s="110">
        <f t="shared" si="4"/>
        <v>138907392</v>
      </c>
    </row>
    <row r="44" spans="1:5" ht="23.25" x14ac:dyDescent="0.35">
      <c r="A44" s="93">
        <v>5</v>
      </c>
      <c r="B44" s="93" t="s">
        <v>341</v>
      </c>
      <c r="C44" s="110">
        <v>0</v>
      </c>
      <c r="D44" s="110">
        <f>'Office Minor'!G845</f>
        <v>379965763</v>
      </c>
      <c r="E44" s="110">
        <f t="shared" si="4"/>
        <v>379965763</v>
      </c>
    </row>
    <row r="45" spans="1:5" ht="23.25" x14ac:dyDescent="0.35">
      <c r="A45" s="93">
        <v>6</v>
      </c>
      <c r="B45" s="93" t="s">
        <v>342</v>
      </c>
      <c r="C45" s="110">
        <v>0</v>
      </c>
      <c r="D45" s="159">
        <f>'Office Minor'!G826</f>
        <v>128950816.59999999</v>
      </c>
      <c r="E45" s="110">
        <f t="shared" si="4"/>
        <v>128950816.59999999</v>
      </c>
    </row>
    <row r="46" spans="1:5" ht="23.25" x14ac:dyDescent="0.35">
      <c r="A46" s="1344" t="s">
        <v>50</v>
      </c>
      <c r="B46" s="1345"/>
      <c r="C46" s="108">
        <f>SUM(C40:C45)</f>
        <v>328000000</v>
      </c>
      <c r="D46" s="108">
        <f>SUM(D40:D45)</f>
        <v>2237424792.5999999</v>
      </c>
      <c r="E46" s="108">
        <f>SUM(E40:E45)</f>
        <v>2565424792.5999999</v>
      </c>
    </row>
    <row r="47" spans="1:5" ht="23.25" x14ac:dyDescent="0.35">
      <c r="A47" s="94">
        <v>6</v>
      </c>
      <c r="B47" s="94" t="s">
        <v>343</v>
      </c>
      <c r="C47" s="1326"/>
      <c r="D47" s="1327"/>
      <c r="E47" s="1328"/>
    </row>
    <row r="48" spans="1:5" ht="23.25" x14ac:dyDescent="0.35">
      <c r="A48" s="93">
        <v>1</v>
      </c>
      <c r="B48" s="93" t="s">
        <v>344</v>
      </c>
      <c r="C48" s="110">
        <v>0</v>
      </c>
      <c r="D48" s="159">
        <f>'Office Minor'!G847</f>
        <v>2236147000</v>
      </c>
      <c r="E48" s="110">
        <f>C48+D48</f>
        <v>2236147000</v>
      </c>
    </row>
    <row r="49" spans="1:5" ht="23.25" x14ac:dyDescent="0.35">
      <c r="A49" s="93">
        <v>2</v>
      </c>
      <c r="B49" s="93" t="s">
        <v>345</v>
      </c>
      <c r="C49" s="110">
        <f>'Office Major'!G267</f>
        <v>1025918000</v>
      </c>
      <c r="D49" s="110">
        <f>'Office Minor'!G864</f>
        <v>628030635</v>
      </c>
      <c r="E49" s="110">
        <f t="shared" ref="E49:E53" si="5">C49+D49</f>
        <v>1653948635</v>
      </c>
    </row>
    <row r="50" spans="1:5" ht="23.25" x14ac:dyDescent="0.35">
      <c r="A50" s="93">
        <v>3</v>
      </c>
      <c r="B50" s="93" t="s">
        <v>346</v>
      </c>
      <c r="C50" s="110">
        <f>'Office Major'!G246</f>
        <v>1137495026</v>
      </c>
      <c r="D50" s="110">
        <f>'Office Minor'!G827</f>
        <v>1032114666</v>
      </c>
      <c r="E50" s="110">
        <f t="shared" si="5"/>
        <v>2169609692</v>
      </c>
    </row>
    <row r="51" spans="1:5" ht="23.25" x14ac:dyDescent="0.35">
      <c r="A51" s="93">
        <v>4</v>
      </c>
      <c r="B51" s="93" t="s">
        <v>347</v>
      </c>
      <c r="C51" s="110">
        <f>'Office Major'!G268</f>
        <v>2134800320</v>
      </c>
      <c r="D51" s="110">
        <f>'Office Minor'!G865</f>
        <v>1405648419</v>
      </c>
      <c r="E51" s="110">
        <f t="shared" si="5"/>
        <v>3540448739</v>
      </c>
    </row>
    <row r="52" spans="1:5" ht="23.25" x14ac:dyDescent="0.35">
      <c r="A52" s="93">
        <v>5</v>
      </c>
      <c r="B52" s="93" t="s">
        <v>348</v>
      </c>
      <c r="C52" s="110">
        <f>'Office Major'!G256</f>
        <v>0</v>
      </c>
      <c r="D52" s="110">
        <f>'Office Minor'!G844</f>
        <v>563047977</v>
      </c>
      <c r="E52" s="110">
        <f t="shared" si="5"/>
        <v>563047977</v>
      </c>
    </row>
    <row r="53" spans="1:5" ht="23.25" x14ac:dyDescent="0.35">
      <c r="A53" s="93">
        <v>6</v>
      </c>
      <c r="B53" s="93" t="s">
        <v>349</v>
      </c>
      <c r="C53" s="107">
        <v>0</v>
      </c>
      <c r="D53" s="107">
        <f>'Office Minor'!G824</f>
        <v>907450926</v>
      </c>
      <c r="E53" s="110">
        <f t="shared" si="5"/>
        <v>907450926</v>
      </c>
    </row>
    <row r="54" spans="1:5" ht="23.25" x14ac:dyDescent="0.35">
      <c r="A54" s="1344" t="s">
        <v>50</v>
      </c>
      <c r="B54" s="1345"/>
      <c r="C54" s="108">
        <f>SUM(C48:C53)</f>
        <v>4298213346</v>
      </c>
      <c r="D54" s="108">
        <f>SUM(D48:D53)</f>
        <v>6772439623</v>
      </c>
      <c r="E54" s="108">
        <f>SUM(E48:E53)</f>
        <v>11070652969</v>
      </c>
    </row>
    <row r="55" spans="1:5" ht="23.25" x14ac:dyDescent="0.35">
      <c r="A55" s="94">
        <v>7</v>
      </c>
      <c r="B55" s="94" t="s">
        <v>350</v>
      </c>
      <c r="C55" s="1326"/>
      <c r="D55" s="1327"/>
      <c r="E55" s="1328"/>
    </row>
    <row r="56" spans="1:5" ht="23.25" x14ac:dyDescent="0.35">
      <c r="A56" s="93">
        <v>1</v>
      </c>
      <c r="B56" s="93" t="s">
        <v>351</v>
      </c>
      <c r="C56" s="110">
        <f>'Office Major'!G248</f>
        <v>13407796170</v>
      </c>
      <c r="D56" s="110">
        <f>'Office Minor'!G831</f>
        <v>1426959526</v>
      </c>
      <c r="E56" s="110">
        <f>C56+D56</f>
        <v>14834755696</v>
      </c>
    </row>
    <row r="57" spans="1:5" ht="23.25" x14ac:dyDescent="0.35">
      <c r="A57" s="93">
        <v>2</v>
      </c>
      <c r="B57" s="93" t="s">
        <v>352</v>
      </c>
      <c r="C57" s="110">
        <v>0</v>
      </c>
      <c r="D57" s="110">
        <f>'Office Minor'!G829</f>
        <v>703153725</v>
      </c>
      <c r="E57" s="110">
        <f t="shared" ref="E57:E59" si="6">C57+D57</f>
        <v>703153725</v>
      </c>
    </row>
    <row r="58" spans="1:5" ht="23.25" x14ac:dyDescent="0.35">
      <c r="A58" s="93">
        <v>3</v>
      </c>
      <c r="B58" s="93" t="s">
        <v>353</v>
      </c>
      <c r="C58" s="110">
        <f>'Office Major'!G250</f>
        <v>1081756030</v>
      </c>
      <c r="D58" s="110">
        <f>'Office Minor'!G836</f>
        <v>291632743</v>
      </c>
      <c r="E58" s="110">
        <f t="shared" si="6"/>
        <v>1373388773</v>
      </c>
    </row>
    <row r="59" spans="1:5" ht="23.25" x14ac:dyDescent="0.35">
      <c r="A59" s="93">
        <v>4</v>
      </c>
      <c r="B59" s="93" t="s">
        <v>354</v>
      </c>
      <c r="C59" s="110">
        <f>'Office Major'!G263</f>
        <v>1992936402</v>
      </c>
      <c r="D59" s="110">
        <f>'Office Minor'!G854</f>
        <v>292307426</v>
      </c>
      <c r="E59" s="110">
        <f t="shared" si="6"/>
        <v>2285243828</v>
      </c>
    </row>
    <row r="60" spans="1:5" ht="23.25" x14ac:dyDescent="0.35">
      <c r="A60" s="1344" t="s">
        <v>50</v>
      </c>
      <c r="B60" s="1345"/>
      <c r="C60" s="108">
        <f>SUM(C56:C59)</f>
        <v>16482488602</v>
      </c>
      <c r="D60" s="108">
        <f>SUM(D56:D59)</f>
        <v>2714053420</v>
      </c>
      <c r="E60" s="108">
        <f>SUM(E56:E59)</f>
        <v>19196542022</v>
      </c>
    </row>
    <row r="61" spans="1:5" ht="23.25" x14ac:dyDescent="0.35">
      <c r="A61" s="94">
        <v>8</v>
      </c>
      <c r="B61" s="94" t="s">
        <v>355</v>
      </c>
      <c r="C61" s="1332"/>
      <c r="D61" s="1333"/>
      <c r="E61" s="1334"/>
    </row>
    <row r="62" spans="1:5" ht="23.25" x14ac:dyDescent="0.35">
      <c r="A62" s="93">
        <v>1</v>
      </c>
      <c r="B62" s="93" t="s">
        <v>356</v>
      </c>
      <c r="C62" s="107">
        <v>0</v>
      </c>
      <c r="D62" s="107">
        <f>'Office Minor'!G856</f>
        <v>969490000</v>
      </c>
      <c r="E62" s="110">
        <f>C62+D62</f>
        <v>969490000</v>
      </c>
    </row>
    <row r="63" spans="1:5" ht="23.25" x14ac:dyDescent="0.35">
      <c r="A63" s="93">
        <v>2</v>
      </c>
      <c r="B63" s="93" t="s">
        <v>357</v>
      </c>
      <c r="C63" s="107">
        <f>'Office Major'!G264</f>
        <v>8759706000</v>
      </c>
      <c r="D63" s="107">
        <f>'Office Minor'!G857</f>
        <v>674063000</v>
      </c>
      <c r="E63" s="110">
        <f t="shared" ref="E63:E64" si="7">C63+D63</f>
        <v>9433769000</v>
      </c>
    </row>
    <row r="64" spans="1:5" ht="23.25" x14ac:dyDescent="0.35">
      <c r="A64" s="93">
        <v>3</v>
      </c>
      <c r="B64" s="93" t="s">
        <v>358</v>
      </c>
      <c r="C64" s="107">
        <f>'Office Major'!G242</f>
        <v>172200</v>
      </c>
      <c r="D64" s="107">
        <f>'Office Minor'!G821</f>
        <v>1047560863</v>
      </c>
      <c r="E64" s="110">
        <f t="shared" si="7"/>
        <v>1047733063</v>
      </c>
    </row>
    <row r="65" spans="1:5" ht="23.25" x14ac:dyDescent="0.35">
      <c r="A65" s="1344" t="s">
        <v>50</v>
      </c>
      <c r="B65" s="1345"/>
      <c r="C65" s="108">
        <f>SUM(C62:C64)</f>
        <v>8759878200</v>
      </c>
      <c r="D65" s="108">
        <f>SUM(D62:D64)</f>
        <v>2691113863</v>
      </c>
      <c r="E65" s="108">
        <f>SUM(E62:E64)</f>
        <v>11450992063</v>
      </c>
    </row>
    <row r="66" spans="1:5" ht="23.25" x14ac:dyDescent="0.35">
      <c r="A66" s="94">
        <v>9</v>
      </c>
      <c r="B66" s="94" t="s">
        <v>359</v>
      </c>
      <c r="C66" s="1326"/>
      <c r="D66" s="1327"/>
      <c r="E66" s="1328"/>
    </row>
    <row r="67" spans="1:5" ht="23.25" x14ac:dyDescent="0.35">
      <c r="A67" s="93">
        <v>1</v>
      </c>
      <c r="B67" s="93" t="s">
        <v>360</v>
      </c>
      <c r="C67" s="110">
        <f>'Office Major'!G270</f>
        <v>6245306591</v>
      </c>
      <c r="D67" s="110">
        <f>'Office Minor'!G869</f>
        <v>896714281</v>
      </c>
      <c r="E67" s="110">
        <f>C67+D67</f>
        <v>7142020872</v>
      </c>
    </row>
    <row r="68" spans="1:5" ht="23.25" x14ac:dyDescent="0.35">
      <c r="A68" s="93">
        <v>2</v>
      </c>
      <c r="B68" s="93" t="s">
        <v>361</v>
      </c>
      <c r="C68" s="110">
        <v>0</v>
      </c>
      <c r="D68" s="110">
        <f>'Office Minor'!G855</f>
        <v>187863061.30000001</v>
      </c>
      <c r="E68" s="110">
        <f t="shared" ref="E68:E72" si="8">C68+D68</f>
        <v>187863061.30000001</v>
      </c>
    </row>
    <row r="69" spans="1:5" ht="23.25" x14ac:dyDescent="0.35">
      <c r="A69" s="93">
        <v>3</v>
      </c>
      <c r="B69" s="93" t="s">
        <v>362</v>
      </c>
      <c r="C69" s="110">
        <v>0</v>
      </c>
      <c r="D69" s="110">
        <f>'Office Minor'!G859</f>
        <v>167521781</v>
      </c>
      <c r="E69" s="110">
        <f t="shared" si="8"/>
        <v>167521781</v>
      </c>
    </row>
    <row r="70" spans="1:5" ht="23.25" x14ac:dyDescent="0.35">
      <c r="A70" s="93">
        <v>4</v>
      </c>
      <c r="B70" s="93" t="s">
        <v>363</v>
      </c>
      <c r="C70" s="110">
        <v>0</v>
      </c>
      <c r="D70" s="110">
        <f>'Office Minor'!G866</f>
        <v>93712963</v>
      </c>
      <c r="E70" s="110">
        <f t="shared" si="8"/>
        <v>93712963</v>
      </c>
    </row>
    <row r="71" spans="1:5" ht="23.25" x14ac:dyDescent="0.35">
      <c r="A71" s="93">
        <v>5</v>
      </c>
      <c r="B71" s="93" t="s">
        <v>364</v>
      </c>
      <c r="C71" s="110">
        <f>'Office Major'!G245</f>
        <v>108266640</v>
      </c>
      <c r="D71" s="110">
        <f>'Office Minor'!G825</f>
        <v>475032971</v>
      </c>
      <c r="E71" s="110">
        <f t="shared" si="8"/>
        <v>583299611</v>
      </c>
    </row>
    <row r="72" spans="1:5" ht="23.25" x14ac:dyDescent="0.35">
      <c r="A72" s="93">
        <v>6</v>
      </c>
      <c r="B72" s="93" t="s">
        <v>365</v>
      </c>
      <c r="C72" s="110">
        <f>'Office Major'!G251</f>
        <v>30767</v>
      </c>
      <c r="D72" s="110">
        <f>'Office Minor'!G839</f>
        <v>223665904</v>
      </c>
      <c r="E72" s="110">
        <f t="shared" si="8"/>
        <v>223696671</v>
      </c>
    </row>
    <row r="73" spans="1:5" ht="23.25" x14ac:dyDescent="0.35">
      <c r="A73" s="1344" t="s">
        <v>50</v>
      </c>
      <c r="B73" s="1345"/>
      <c r="C73" s="108">
        <f>SUM(C67:C72)</f>
        <v>6353603998</v>
      </c>
      <c r="D73" s="108">
        <f>SUM(D67:D72)</f>
        <v>2044510961.3</v>
      </c>
      <c r="E73" s="108">
        <f>SUM(E67:E72)</f>
        <v>8398114959.3000002</v>
      </c>
    </row>
    <row r="74" spans="1:5" ht="22.5" x14ac:dyDescent="0.3">
      <c r="A74" s="1323"/>
      <c r="B74" s="1324"/>
      <c r="C74" s="1324"/>
      <c r="D74" s="1324"/>
      <c r="E74" s="1325"/>
    </row>
    <row r="75" spans="1:5" ht="22.5" x14ac:dyDescent="0.25">
      <c r="A75" s="1350" t="s">
        <v>366</v>
      </c>
      <c r="B75" s="1351"/>
      <c r="C75" s="111">
        <f>C14+C21+C28+C38+C46+C54+C60+C65+C73</f>
        <v>39455150751</v>
      </c>
      <c r="D75" s="111">
        <f>D14+D21+D28+D38+D46+D54+D60+D65+D73</f>
        <v>33881752900.049999</v>
      </c>
      <c r="E75" s="111">
        <f>E14+E21+E28+E38+E46+E54+E60+E65+E73</f>
        <v>73336903651.050003</v>
      </c>
    </row>
    <row r="76" spans="1:5" ht="23.25" x14ac:dyDescent="0.35">
      <c r="A76" s="112"/>
      <c r="B76" s="112"/>
      <c r="C76" s="112"/>
      <c r="D76" s="112"/>
      <c r="E76" s="112"/>
    </row>
    <row r="77" spans="1:5" ht="23.25" x14ac:dyDescent="0.35">
      <c r="A77" s="112"/>
      <c r="B77" s="113" t="s">
        <v>374</v>
      </c>
      <c r="C77" s="113">
        <f>'Office Major'!G271</f>
        <v>39455737872</v>
      </c>
      <c r="D77" s="114">
        <f>'Office Minor'!G870</f>
        <v>33881752900.049999</v>
      </c>
      <c r="E77" s="115">
        <f>'Office Major'!G271+'Office Minor'!G870</f>
        <v>73337490772.050003</v>
      </c>
    </row>
    <row r="78" spans="1:5" ht="23.25" x14ac:dyDescent="0.35">
      <c r="A78" s="112"/>
      <c r="B78" s="112"/>
      <c r="C78" s="112"/>
      <c r="D78" s="112"/>
      <c r="E78" s="112"/>
    </row>
    <row r="79" spans="1:5" ht="23.25" x14ac:dyDescent="0.35">
      <c r="A79" s="112"/>
      <c r="B79" s="112"/>
      <c r="C79" s="112">
        <f>C75-C77</f>
        <v>-587121</v>
      </c>
      <c r="D79" s="112">
        <f t="shared" ref="D79:E79" si="9">D75-D77</f>
        <v>0</v>
      </c>
      <c r="E79" s="112">
        <f t="shared" si="9"/>
        <v>-587121</v>
      </c>
    </row>
  </sheetData>
  <mergeCells count="27">
    <mergeCell ref="A75:B75"/>
    <mergeCell ref="A1:E1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  <mergeCell ref="A28:B28"/>
    <mergeCell ref="A3:E3"/>
    <mergeCell ref="A5:A6"/>
    <mergeCell ref="B5:B6"/>
    <mergeCell ref="C5:C6"/>
    <mergeCell ref="D5:D6"/>
    <mergeCell ref="E5:E6"/>
    <mergeCell ref="C7:E7"/>
    <mergeCell ref="A14:B14"/>
    <mergeCell ref="C15:E15"/>
    <mergeCell ref="A21:B21"/>
    <mergeCell ref="C22:E2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26" sqref="E26"/>
    </sheetView>
  </sheetViews>
  <sheetFormatPr defaultRowHeight="15" x14ac:dyDescent="0.25"/>
  <cols>
    <col min="1" max="1" width="8" customWidth="1"/>
    <col min="2" max="2" width="18.42578125" customWidth="1"/>
    <col min="3" max="3" width="26.7109375" customWidth="1"/>
    <col min="4" max="4" width="10.42578125" customWidth="1"/>
    <col min="5" max="5" width="13.85546875" customWidth="1"/>
    <col min="6" max="6" width="14" bestFit="1" customWidth="1"/>
    <col min="7" max="7" width="15.140625" customWidth="1"/>
    <col min="8" max="8" width="15.42578125" customWidth="1"/>
    <col min="9" max="9" width="15" customWidth="1"/>
    <col min="11" max="11" width="18.7109375" customWidth="1"/>
    <col min="12" max="12" width="17.85546875" customWidth="1"/>
  </cols>
  <sheetData>
    <row r="1" spans="1:12" ht="34.5" x14ac:dyDescent="0.25">
      <c r="A1" s="1356" t="s">
        <v>0</v>
      </c>
      <c r="B1" s="1356"/>
      <c r="C1" s="1356"/>
      <c r="D1" s="1356"/>
      <c r="E1" s="1356"/>
      <c r="F1" s="1356"/>
      <c r="G1" s="1356"/>
      <c r="H1" s="1356"/>
      <c r="I1" s="1356"/>
    </row>
    <row r="2" spans="1:12" ht="27" x14ac:dyDescent="0.25">
      <c r="A2" s="1357" t="s">
        <v>384</v>
      </c>
      <c r="B2" s="1357"/>
      <c r="C2" s="1357"/>
      <c r="D2" s="1357"/>
      <c r="E2" s="1357"/>
      <c r="F2" s="1357"/>
      <c r="G2" s="1357"/>
      <c r="H2" s="1357"/>
      <c r="I2" s="1357"/>
    </row>
    <row r="3" spans="1:12" ht="27" x14ac:dyDescent="0.25">
      <c r="A3" s="1357" t="str">
        <f>'Revenue Major Minor'!A2:E2</f>
        <v>Financial Year 2023-24</v>
      </c>
      <c r="B3" s="1357"/>
      <c r="C3" s="1357"/>
      <c r="D3" s="1357"/>
      <c r="E3" s="1357"/>
      <c r="F3" s="1357"/>
      <c r="G3" s="1357"/>
      <c r="H3" s="1357"/>
      <c r="I3" s="1357"/>
    </row>
    <row r="4" spans="1:12" ht="16.5" x14ac:dyDescent="0.25">
      <c r="A4" s="1358" t="s">
        <v>2</v>
      </c>
      <c r="B4" s="1358" t="s">
        <v>385</v>
      </c>
      <c r="C4" s="1360" t="s">
        <v>3</v>
      </c>
      <c r="D4" s="130" t="s">
        <v>386</v>
      </c>
      <c r="E4" s="130" t="s">
        <v>5</v>
      </c>
      <c r="F4" s="130" t="s">
        <v>6</v>
      </c>
      <c r="G4" s="130" t="s">
        <v>7</v>
      </c>
      <c r="H4" s="130" t="s">
        <v>8</v>
      </c>
      <c r="I4" s="130" t="s">
        <v>9</v>
      </c>
      <c r="K4" s="1352" t="s">
        <v>624</v>
      </c>
      <c r="L4" s="1352" t="s">
        <v>623</v>
      </c>
    </row>
    <row r="5" spans="1:12" ht="16.5" x14ac:dyDescent="0.25">
      <c r="A5" s="1359"/>
      <c r="B5" s="1359"/>
      <c r="C5" s="1361"/>
      <c r="D5" s="130" t="s">
        <v>10</v>
      </c>
      <c r="E5" s="130" t="s">
        <v>11</v>
      </c>
      <c r="F5" s="130" t="s">
        <v>633</v>
      </c>
      <c r="G5" s="130" t="s">
        <v>632</v>
      </c>
      <c r="H5" s="130" t="s">
        <v>12</v>
      </c>
      <c r="I5" s="130" t="s">
        <v>13</v>
      </c>
      <c r="K5" s="1352"/>
      <c r="L5" s="1352"/>
    </row>
    <row r="6" spans="1:12" ht="15.75" x14ac:dyDescent="0.25">
      <c r="A6" s="1">
        <v>1</v>
      </c>
      <c r="B6" s="1056" t="s">
        <v>81</v>
      </c>
      <c r="C6" s="1081" t="s">
        <v>67</v>
      </c>
      <c r="D6" s="1058">
        <v>79</v>
      </c>
      <c r="E6" s="1058">
        <v>0.79</v>
      </c>
      <c r="F6" s="1058">
        <v>0</v>
      </c>
      <c r="G6" s="1058">
        <v>0</v>
      </c>
      <c r="H6" s="1058">
        <v>0</v>
      </c>
      <c r="I6" s="1058">
        <v>0</v>
      </c>
      <c r="K6" s="820" t="e">
        <f>G6/F6</f>
        <v>#DIV/0!</v>
      </c>
      <c r="L6" s="820" t="e">
        <f>H6/F6</f>
        <v>#DIV/0!</v>
      </c>
    </row>
    <row r="7" spans="1:12" ht="15.75" x14ac:dyDescent="0.25">
      <c r="A7" s="1">
        <v>2</v>
      </c>
      <c r="B7" s="1056" t="s">
        <v>377</v>
      </c>
      <c r="C7" s="1057" t="s">
        <v>391</v>
      </c>
      <c r="D7" s="1058">
        <v>19</v>
      </c>
      <c r="E7" s="1058">
        <v>4.75</v>
      </c>
      <c r="F7" s="1058">
        <v>56945</v>
      </c>
      <c r="G7" s="1058">
        <v>9111200</v>
      </c>
      <c r="H7" s="1058">
        <v>3169357</v>
      </c>
      <c r="I7" s="1058">
        <v>15</v>
      </c>
      <c r="K7" s="820">
        <f t="shared" ref="K7:K23" si="0">G7/F7</f>
        <v>160</v>
      </c>
      <c r="L7" s="820">
        <f t="shared" ref="L7:L23" si="1">H7/F7</f>
        <v>55.656457985775745</v>
      </c>
    </row>
    <row r="8" spans="1:12" ht="15.75" x14ac:dyDescent="0.25">
      <c r="A8" s="1">
        <v>3</v>
      </c>
      <c r="B8" s="1" t="s">
        <v>118</v>
      </c>
      <c r="C8" s="840" t="s">
        <v>391</v>
      </c>
      <c r="D8" s="1058">
        <v>6915</v>
      </c>
      <c r="E8" s="1058">
        <v>1433.9</v>
      </c>
      <c r="F8" s="1058">
        <v>3831723</v>
      </c>
      <c r="G8" s="1058">
        <f>F8*750</f>
        <v>2873792250</v>
      </c>
      <c r="H8" s="1058">
        <f>F8*56</f>
        <v>214576488</v>
      </c>
      <c r="I8" s="1058">
        <v>10110</v>
      </c>
      <c r="K8" s="820">
        <f t="shared" si="0"/>
        <v>750</v>
      </c>
      <c r="L8" s="820">
        <f t="shared" si="1"/>
        <v>56</v>
      </c>
    </row>
    <row r="9" spans="1:12" s="1070" customFormat="1" ht="15.75" x14ac:dyDescent="0.25">
      <c r="A9" s="1056">
        <v>4</v>
      </c>
      <c r="B9" s="1056" t="s">
        <v>400</v>
      </c>
      <c r="C9" s="1057" t="s">
        <v>391</v>
      </c>
      <c r="D9" s="1058">
        <v>151</v>
      </c>
      <c r="E9" s="1058">
        <v>88.102500000000006</v>
      </c>
      <c r="F9" s="1058">
        <v>417275</v>
      </c>
      <c r="G9" s="1058">
        <v>312956340</v>
      </c>
      <c r="H9" s="1058">
        <v>23404217</v>
      </c>
      <c r="I9" s="1058">
        <v>350</v>
      </c>
      <c r="K9" s="1071">
        <f t="shared" si="0"/>
        <v>750.00021568509976</v>
      </c>
      <c r="L9" s="1071">
        <f t="shared" si="1"/>
        <v>56.088231981307288</v>
      </c>
    </row>
    <row r="10" spans="1:12" ht="15.75" x14ac:dyDescent="0.25">
      <c r="A10" s="1">
        <v>5</v>
      </c>
      <c r="B10" s="1" t="s">
        <v>191</v>
      </c>
      <c r="C10" s="840" t="s">
        <v>401</v>
      </c>
      <c r="D10" s="1058">
        <v>20</v>
      </c>
      <c r="E10" s="1058">
        <v>7.56</v>
      </c>
      <c r="F10" s="1060">
        <v>122800</v>
      </c>
      <c r="G10" s="1059">
        <v>84609200</v>
      </c>
      <c r="H10" s="1059">
        <v>4320065</v>
      </c>
      <c r="I10" s="1060">
        <v>104</v>
      </c>
      <c r="K10" s="820">
        <f t="shared" si="0"/>
        <v>689</v>
      </c>
      <c r="L10" s="820">
        <f t="shared" si="1"/>
        <v>35.179682410423453</v>
      </c>
    </row>
    <row r="11" spans="1:12" ht="15.75" x14ac:dyDescent="0.25">
      <c r="A11" s="1">
        <v>6</v>
      </c>
      <c r="B11" s="1056" t="s">
        <v>99</v>
      </c>
      <c r="C11" s="1057" t="s">
        <v>401</v>
      </c>
      <c r="D11" s="1078">
        <v>14</v>
      </c>
      <c r="E11" s="1079">
        <v>920.07</v>
      </c>
      <c r="F11" s="1080">
        <v>32386</v>
      </c>
      <c r="G11" s="1078">
        <f>F11*650</f>
        <v>21050900</v>
      </c>
      <c r="H11" s="1080">
        <f>F11*60</f>
        <v>1943160</v>
      </c>
      <c r="I11" s="1058">
        <v>25</v>
      </c>
      <c r="K11" s="820">
        <f t="shared" si="0"/>
        <v>650</v>
      </c>
      <c r="L11" s="820">
        <f t="shared" si="1"/>
        <v>60</v>
      </c>
    </row>
    <row r="12" spans="1:12" ht="15.75" x14ac:dyDescent="0.25">
      <c r="A12" s="1">
        <v>7</v>
      </c>
      <c r="B12" s="1056" t="s">
        <v>153</v>
      </c>
      <c r="C12" s="1057" t="s">
        <v>401</v>
      </c>
      <c r="D12" s="1058">
        <v>8</v>
      </c>
      <c r="E12" s="1058">
        <v>1.44</v>
      </c>
      <c r="F12" s="1058">
        <v>26287</v>
      </c>
      <c r="G12" s="1058">
        <v>17087083</v>
      </c>
      <c r="H12" s="1058">
        <v>1031473</v>
      </c>
      <c r="I12" s="1058">
        <v>25</v>
      </c>
      <c r="K12" s="820">
        <f t="shared" si="0"/>
        <v>650.02027618214322</v>
      </c>
      <c r="L12" s="820">
        <f t="shared" si="1"/>
        <v>39.238901358085748</v>
      </c>
    </row>
    <row r="13" spans="1:12" ht="15.75" x14ac:dyDescent="0.25">
      <c r="A13" s="1">
        <v>8</v>
      </c>
      <c r="B13" s="1056" t="s">
        <v>102</v>
      </c>
      <c r="C13" s="1057" t="s">
        <v>391</v>
      </c>
      <c r="D13" s="1058">
        <v>1039</v>
      </c>
      <c r="E13" s="1058">
        <v>615.39</v>
      </c>
      <c r="F13" s="1059">
        <v>2843451</v>
      </c>
      <c r="G13" s="1060">
        <v>2843450610</v>
      </c>
      <c r="H13" s="1059">
        <v>667696906</v>
      </c>
      <c r="I13" s="1059">
        <v>5000</v>
      </c>
      <c r="K13" s="820">
        <f t="shared" si="0"/>
        <v>999.99986284272177</v>
      </c>
      <c r="L13" s="820">
        <f t="shared" si="1"/>
        <v>234.81920595783083</v>
      </c>
    </row>
    <row r="14" spans="1:12" ht="15.75" x14ac:dyDescent="0.25">
      <c r="A14" s="1">
        <v>9</v>
      </c>
      <c r="B14" s="1" t="s">
        <v>96</v>
      </c>
      <c r="C14" s="840" t="s">
        <v>391</v>
      </c>
      <c r="D14" s="766">
        <v>34</v>
      </c>
      <c r="E14" s="766">
        <v>34</v>
      </c>
      <c r="F14" s="766">
        <v>0</v>
      </c>
      <c r="G14" s="766">
        <v>0</v>
      </c>
      <c r="H14" s="766">
        <v>0</v>
      </c>
      <c r="I14" s="766">
        <v>0</v>
      </c>
      <c r="K14" s="820" t="e">
        <f t="shared" si="0"/>
        <v>#DIV/0!</v>
      </c>
      <c r="L14" s="820" t="e">
        <f t="shared" si="1"/>
        <v>#DIV/0!</v>
      </c>
    </row>
    <row r="15" spans="1:12" ht="15.75" x14ac:dyDescent="0.25">
      <c r="A15" s="1">
        <v>10</v>
      </c>
      <c r="B15" s="1056" t="s">
        <v>406</v>
      </c>
      <c r="C15" s="1057" t="s">
        <v>480</v>
      </c>
      <c r="D15" s="1058">
        <v>740</v>
      </c>
      <c r="E15" s="1058">
        <v>49.84</v>
      </c>
      <c r="F15" s="1058">
        <v>662818</v>
      </c>
      <c r="G15" s="1058">
        <v>430831700</v>
      </c>
      <c r="H15" s="1058">
        <v>26266308</v>
      </c>
      <c r="I15" s="1058"/>
      <c r="K15" s="820">
        <f t="shared" si="0"/>
        <v>650</v>
      </c>
      <c r="L15" s="820">
        <f t="shared" si="1"/>
        <v>39.628235805304023</v>
      </c>
    </row>
    <row r="16" spans="1:12" ht="15.75" x14ac:dyDescent="0.25">
      <c r="A16" s="1">
        <v>11</v>
      </c>
      <c r="B16" s="1056" t="s">
        <v>406</v>
      </c>
      <c r="C16" s="1057" t="s">
        <v>391</v>
      </c>
      <c r="D16" s="1058">
        <v>87</v>
      </c>
      <c r="E16" s="1058">
        <v>62.61</v>
      </c>
      <c r="F16" s="1058"/>
      <c r="G16" s="1058"/>
      <c r="H16" s="1058">
        <v>3209457</v>
      </c>
      <c r="I16" s="1058"/>
      <c r="K16" s="820" t="e">
        <f t="shared" si="0"/>
        <v>#DIV/0!</v>
      </c>
      <c r="L16" s="820" t="e">
        <f t="shared" si="1"/>
        <v>#DIV/0!</v>
      </c>
    </row>
    <row r="17" spans="1:12" ht="15.75" x14ac:dyDescent="0.25">
      <c r="A17" s="1">
        <v>12</v>
      </c>
      <c r="B17" s="1056" t="s">
        <v>406</v>
      </c>
      <c r="C17" s="1057" t="s">
        <v>62</v>
      </c>
      <c r="D17" s="1058">
        <v>17</v>
      </c>
      <c r="E17" s="1058">
        <v>3.6</v>
      </c>
      <c r="F17" s="1058">
        <v>7013</v>
      </c>
      <c r="G17" s="1058">
        <v>10519500</v>
      </c>
      <c r="H17" s="1058">
        <v>1410796</v>
      </c>
      <c r="I17" s="1058"/>
      <c r="K17" s="820">
        <f t="shared" si="0"/>
        <v>1500</v>
      </c>
      <c r="L17" s="820">
        <f t="shared" si="1"/>
        <v>201.16868672465421</v>
      </c>
    </row>
    <row r="18" spans="1:12" ht="15.75" x14ac:dyDescent="0.25">
      <c r="A18" s="1">
        <v>13</v>
      </c>
      <c r="B18" s="1056" t="s">
        <v>108</v>
      </c>
      <c r="C18" s="1057" t="str">
        <f>'Office Minor'!B549</f>
        <v>Limestone (Dim)</v>
      </c>
      <c r="D18" s="1058">
        <v>1</v>
      </c>
      <c r="E18" s="1058">
        <v>0.6</v>
      </c>
      <c r="F18" s="1058">
        <v>3409</v>
      </c>
      <c r="G18" s="1058">
        <v>1193298</v>
      </c>
      <c r="H18" s="1058">
        <v>136377</v>
      </c>
      <c r="I18" s="1058">
        <v>50</v>
      </c>
      <c r="J18" s="1070"/>
      <c r="K18" s="820">
        <f t="shared" si="0"/>
        <v>350.04341449105311</v>
      </c>
      <c r="L18" s="820">
        <f t="shared" si="1"/>
        <v>40.004986799647988</v>
      </c>
    </row>
    <row r="19" spans="1:12" ht="15.75" x14ac:dyDescent="0.25">
      <c r="A19" s="1">
        <v>14</v>
      </c>
      <c r="B19" s="1056" t="s">
        <v>108</v>
      </c>
      <c r="C19" s="1057" t="s">
        <v>634</v>
      </c>
      <c r="D19" s="1058">
        <v>1252</v>
      </c>
      <c r="E19" s="1058">
        <v>90.984999999999999</v>
      </c>
      <c r="F19" s="1058">
        <v>2464190</v>
      </c>
      <c r="G19" s="1058">
        <v>443554235</v>
      </c>
      <c r="H19" s="1058">
        <v>112346542</v>
      </c>
      <c r="I19" s="1058">
        <v>1500</v>
      </c>
      <c r="J19" s="1070"/>
      <c r="K19" s="820"/>
      <c r="L19" s="820"/>
    </row>
    <row r="20" spans="1:12" ht="15.75" x14ac:dyDescent="0.25">
      <c r="A20" s="1">
        <v>15</v>
      </c>
      <c r="B20" s="1056" t="s">
        <v>124</v>
      </c>
      <c r="C20" s="1057" t="s">
        <v>62</v>
      </c>
      <c r="D20" s="1058">
        <v>720</v>
      </c>
      <c r="E20" s="1058">
        <v>275</v>
      </c>
      <c r="F20" s="1058">
        <v>1163613</v>
      </c>
      <c r="G20" s="1058">
        <v>2909033725</v>
      </c>
      <c r="H20" s="1058">
        <v>410472000</v>
      </c>
      <c r="I20" s="1058">
        <v>10700</v>
      </c>
      <c r="K20" s="820">
        <f t="shared" si="0"/>
        <v>2500.0010527555123</v>
      </c>
      <c r="L20" s="820">
        <f t="shared" si="1"/>
        <v>352.756457688252</v>
      </c>
    </row>
    <row r="21" spans="1:12" ht="15.75" x14ac:dyDescent="0.25">
      <c r="A21" s="1">
        <v>16</v>
      </c>
      <c r="B21" s="1056" t="s">
        <v>145</v>
      </c>
      <c r="C21" s="1057" t="s">
        <v>391</v>
      </c>
      <c r="D21" s="1058">
        <v>6025</v>
      </c>
      <c r="E21" s="1058">
        <v>1095.72</v>
      </c>
      <c r="F21" s="1058">
        <v>2552037</v>
      </c>
      <c r="G21" s="1058">
        <v>4695749460</v>
      </c>
      <c r="H21" s="1058">
        <v>595867242</v>
      </c>
      <c r="I21" s="1058">
        <v>14600</v>
      </c>
      <c r="J21" s="624"/>
      <c r="K21" s="820">
        <f t="shared" si="0"/>
        <v>1840.0005407445112</v>
      </c>
      <c r="L21" s="820">
        <f t="shared" si="1"/>
        <v>233.48691339506442</v>
      </c>
    </row>
    <row r="22" spans="1:12" ht="15.75" x14ac:dyDescent="0.25">
      <c r="A22" s="967">
        <v>17</v>
      </c>
      <c r="B22" s="967" t="s">
        <v>95</v>
      </c>
      <c r="C22" s="968" t="s">
        <v>393</v>
      </c>
      <c r="D22" s="768">
        <v>77</v>
      </c>
      <c r="E22" s="768">
        <v>0</v>
      </c>
      <c r="F22" s="768">
        <v>0</v>
      </c>
      <c r="G22" s="768">
        <v>0</v>
      </c>
      <c r="H22" s="768">
        <v>0</v>
      </c>
      <c r="I22" s="768">
        <v>0</v>
      </c>
      <c r="K22" s="820" t="e">
        <f t="shared" si="0"/>
        <v>#DIV/0!</v>
      </c>
      <c r="L22" s="820" t="e">
        <f t="shared" si="1"/>
        <v>#DIV/0!</v>
      </c>
    </row>
    <row r="23" spans="1:12" ht="18.75" x14ac:dyDescent="0.3">
      <c r="A23" s="1353" t="s">
        <v>50</v>
      </c>
      <c r="B23" s="1354"/>
      <c r="C23" s="1355"/>
      <c r="D23" s="955">
        <f>SUM(D6:D22)</f>
        <v>17198</v>
      </c>
      <c r="E23" s="1062">
        <f t="shared" ref="E23:I23" si="2">SUM(E6:E22)</f>
        <v>4684.3575000000001</v>
      </c>
      <c r="F23" s="1063">
        <f>SUM(F6:F22)/100000</f>
        <v>141.83947000000001</v>
      </c>
      <c r="G23" s="1062">
        <f>SUM(G6:G22)/10000000</f>
        <v>1465.2939501000001</v>
      </c>
      <c r="H23" s="1062">
        <f>SUM(H6:H22)/100000</f>
        <v>20658.50388</v>
      </c>
      <c r="I23" s="955">
        <f t="shared" si="2"/>
        <v>42479</v>
      </c>
      <c r="K23" s="820">
        <f t="shared" si="0"/>
        <v>10.330650206885291</v>
      </c>
      <c r="L23" s="820">
        <f t="shared" si="1"/>
        <v>145.64707468238566</v>
      </c>
    </row>
    <row r="27" spans="1:12" x14ac:dyDescent="0.25">
      <c r="D27" t="s">
        <v>131</v>
      </c>
    </row>
    <row r="29" spans="1:12" ht="15.75" x14ac:dyDescent="0.25">
      <c r="I29" s="631"/>
    </row>
  </sheetData>
  <mergeCells count="9">
    <mergeCell ref="K4:K5"/>
    <mergeCell ref="L4:L5"/>
    <mergeCell ref="A23:C23"/>
    <mergeCell ref="A1:I1"/>
    <mergeCell ref="A2:I2"/>
    <mergeCell ref="A3:I3"/>
    <mergeCell ref="A4:A5"/>
    <mergeCell ref="B4:B5"/>
    <mergeCell ref="C4:C5"/>
  </mergeCells>
  <pageMargins left="0.7" right="0.7" top="0.75" bottom="0.75" header="0.3" footer="0.3"/>
  <pageSetup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N20" sqref="N20"/>
    </sheetView>
  </sheetViews>
  <sheetFormatPr defaultRowHeight="15" x14ac:dyDescent="0.25"/>
  <cols>
    <col min="2" max="2" width="20.28515625" customWidth="1"/>
    <col min="3" max="3" width="11.85546875" customWidth="1"/>
    <col min="4" max="4" width="11.28515625" customWidth="1"/>
    <col min="5" max="5" width="9.85546875" customWidth="1"/>
    <col min="6" max="6" width="10.140625" customWidth="1"/>
    <col min="7" max="7" width="13.85546875" customWidth="1"/>
    <col min="8" max="8" width="11" customWidth="1"/>
  </cols>
  <sheetData>
    <row r="1" spans="1:16" ht="25.5" x14ac:dyDescent="0.25">
      <c r="A1" s="1365" t="str">
        <f>'Revenue Major Minor'!A2:E2</f>
        <v>Financial Year 2023-24</v>
      </c>
      <c r="B1" s="1365"/>
      <c r="C1" s="1365"/>
      <c r="D1" s="1365"/>
      <c r="E1" s="1365"/>
      <c r="F1" s="1365"/>
      <c r="G1" s="1365"/>
      <c r="H1" s="1365"/>
      <c r="I1" s="1365"/>
    </row>
    <row r="2" spans="1:16" x14ac:dyDescent="0.25">
      <c r="A2" s="1367" t="s">
        <v>303</v>
      </c>
      <c r="B2" s="1369" t="s">
        <v>304</v>
      </c>
      <c r="C2" s="1371" t="s">
        <v>305</v>
      </c>
      <c r="D2" s="1371" t="s">
        <v>306</v>
      </c>
      <c r="E2" s="1371" t="s">
        <v>439</v>
      </c>
      <c r="F2" s="1371" t="s">
        <v>440</v>
      </c>
      <c r="G2" s="1371" t="s">
        <v>450</v>
      </c>
      <c r="H2" s="1371" t="s">
        <v>307</v>
      </c>
      <c r="I2" s="1362" t="s">
        <v>451</v>
      </c>
    </row>
    <row r="3" spans="1:16" ht="30.75" customHeight="1" x14ac:dyDescent="0.25">
      <c r="A3" s="1368"/>
      <c r="B3" s="1370"/>
      <c r="C3" s="1371"/>
      <c r="D3" s="1371"/>
      <c r="E3" s="1371"/>
      <c r="F3" s="1371"/>
      <c r="G3" s="1371"/>
      <c r="H3" s="1371"/>
      <c r="I3" s="1362"/>
    </row>
    <row r="4" spans="1:16" ht="18.75" x14ac:dyDescent="0.3">
      <c r="A4" s="596">
        <v>1</v>
      </c>
      <c r="B4" s="597" t="s">
        <v>309</v>
      </c>
      <c r="C4" s="598">
        <f>'Cerclewise  ML QL'!C8</f>
        <v>5</v>
      </c>
      <c r="D4" s="598">
        <f>'Cerclewise  ML QL'!D8</f>
        <v>620</v>
      </c>
      <c r="E4" s="598">
        <v>0</v>
      </c>
      <c r="F4" s="598">
        <v>0</v>
      </c>
      <c r="G4" s="598">
        <f>'Cerclewise  ML QL'!G8</f>
        <v>0</v>
      </c>
      <c r="H4" s="598">
        <f>'Cerclewise  ML QL'!H8</f>
        <v>0</v>
      </c>
      <c r="I4" s="598">
        <f>'Cerclewise  ML QL'!I8</f>
        <v>0</v>
      </c>
    </row>
    <row r="5" spans="1:16" ht="18.75" x14ac:dyDescent="0.3">
      <c r="A5" s="596">
        <v>2</v>
      </c>
      <c r="B5" s="600" t="s">
        <v>312</v>
      </c>
      <c r="C5" s="598">
        <f>'Cerclewise  ML QL'!C11</f>
        <v>9</v>
      </c>
      <c r="D5" s="598">
        <f>'Cerclewise  ML QL'!D11</f>
        <v>384</v>
      </c>
      <c r="E5" s="598"/>
      <c r="F5" s="598"/>
      <c r="G5" s="598">
        <f>'Cerclewise  ML QL'!G11</f>
        <v>0</v>
      </c>
      <c r="H5" s="598">
        <f>'Cerclewise  ML QL'!H11</f>
        <v>0</v>
      </c>
      <c r="I5" s="598">
        <f>'Cerclewise  ML QL'!I11</f>
        <v>0</v>
      </c>
    </row>
    <row r="6" spans="1:16" ht="18.75" x14ac:dyDescent="0.3">
      <c r="A6" s="596">
        <v>3</v>
      </c>
      <c r="B6" s="597" t="s">
        <v>310</v>
      </c>
      <c r="C6" s="598">
        <f>'Cerclewise  ML QL'!C9</f>
        <v>0</v>
      </c>
      <c r="D6" s="598">
        <f>'Cerclewise  ML QL'!D9</f>
        <v>160</v>
      </c>
      <c r="E6" s="598">
        <v>0</v>
      </c>
      <c r="F6" s="598">
        <v>0</v>
      </c>
      <c r="G6" s="598">
        <f>'Cerclewise  ML QL'!G9</f>
        <v>0</v>
      </c>
      <c r="H6" s="598">
        <f>'Cerclewise  ML QL'!H9</f>
        <v>0</v>
      </c>
      <c r="I6" s="598">
        <f>'Cerclewise  ML QL'!I9</f>
        <v>0</v>
      </c>
    </row>
    <row r="7" spans="1:16" ht="18.75" x14ac:dyDescent="0.3">
      <c r="A7" s="596">
        <v>4</v>
      </c>
      <c r="B7" s="597" t="s">
        <v>441</v>
      </c>
      <c r="C7" s="598">
        <f>'Cerclewise  ML QL'!C10</f>
        <v>6</v>
      </c>
      <c r="D7" s="598">
        <f>'Cerclewise  ML QL'!D10</f>
        <v>710</v>
      </c>
      <c r="E7" s="598">
        <v>0</v>
      </c>
      <c r="F7" s="598">
        <v>0</v>
      </c>
      <c r="G7" s="598">
        <f>'Cerclewise  ML QL'!G10</f>
        <v>0</v>
      </c>
      <c r="H7" s="598">
        <f>'Cerclewise  ML QL'!H10</f>
        <v>0</v>
      </c>
      <c r="I7" s="598">
        <f>'Cerclewise  ML QL'!I10</f>
        <v>0</v>
      </c>
    </row>
    <row r="8" spans="1:16" ht="18.75" x14ac:dyDescent="0.3">
      <c r="A8" s="596">
        <v>5</v>
      </c>
      <c r="B8" s="597" t="s">
        <v>313</v>
      </c>
      <c r="C8" s="598">
        <f>'Cerclewise  ML QL'!C12</f>
        <v>4</v>
      </c>
      <c r="D8" s="598">
        <f>'Cerclewise  ML QL'!D12</f>
        <v>339</v>
      </c>
      <c r="E8" s="598">
        <v>0</v>
      </c>
      <c r="F8" s="598">
        <v>0</v>
      </c>
      <c r="G8" s="598">
        <f>'Cerclewise  ML QL'!G12</f>
        <v>0</v>
      </c>
      <c r="H8" s="598">
        <f>'Cerclewise  ML QL'!H12</f>
        <v>0</v>
      </c>
      <c r="I8" s="598">
        <f>'Cerclewise  ML QL'!I12</f>
        <v>0</v>
      </c>
    </row>
    <row r="9" spans="1:16" ht="18.75" x14ac:dyDescent="0.3">
      <c r="A9" s="596">
        <v>6</v>
      </c>
      <c r="B9" s="597" t="s">
        <v>314</v>
      </c>
      <c r="C9" s="598">
        <f>'Cerclewise  ML QL'!C13</f>
        <v>6</v>
      </c>
      <c r="D9" s="598">
        <f>'Cerclewise  ML QL'!D13</f>
        <v>484</v>
      </c>
      <c r="E9" s="793">
        <v>0</v>
      </c>
      <c r="F9" s="793">
        <v>0</v>
      </c>
      <c r="G9" s="598">
        <f>'Cerclewise  ML QL'!G13</f>
        <v>0</v>
      </c>
      <c r="H9" s="598">
        <f>'Cerclewise  ML QL'!H13</f>
        <v>0</v>
      </c>
      <c r="I9" s="598">
        <f>'Cerclewise  ML QL'!I13</f>
        <v>0</v>
      </c>
      <c r="J9" s="793"/>
      <c r="K9" s="794"/>
      <c r="L9" s="793"/>
      <c r="M9" s="793"/>
      <c r="N9" s="794"/>
      <c r="O9" s="793"/>
      <c r="P9" s="795"/>
    </row>
    <row r="10" spans="1:16" ht="18.75" x14ac:dyDescent="0.3">
      <c r="A10" s="596">
        <v>7</v>
      </c>
      <c r="B10" s="597" t="s">
        <v>316</v>
      </c>
      <c r="C10" s="598">
        <f>N9</f>
        <v>0</v>
      </c>
      <c r="D10" s="599">
        <f>'Office Minor'!C163</f>
        <v>424</v>
      </c>
      <c r="E10" s="598">
        <v>0</v>
      </c>
      <c r="F10" s="598">
        <v>0</v>
      </c>
      <c r="G10" s="599">
        <f>'Office Minor'!F163</f>
        <v>2641835749</v>
      </c>
      <c r="H10" s="599">
        <f>'Office Minor'!G163</f>
        <v>1033580608</v>
      </c>
      <c r="I10" s="599">
        <f>'Office Minor'!H163</f>
        <v>6620</v>
      </c>
    </row>
    <row r="11" spans="1:16" ht="18.75" x14ac:dyDescent="0.3">
      <c r="A11" s="596">
        <v>8</v>
      </c>
      <c r="B11" s="597" t="s">
        <v>317</v>
      </c>
      <c r="C11" s="598" t="e">
        <f>'Office Major'!#REF!</f>
        <v>#REF!</v>
      </c>
      <c r="D11" s="599">
        <f>'Office Minor'!C296</f>
        <v>137</v>
      </c>
      <c r="E11" s="598">
        <v>0</v>
      </c>
      <c r="F11" s="598">
        <v>0</v>
      </c>
      <c r="G11" s="599">
        <f>'Office Minor'!F296</f>
        <v>631465670</v>
      </c>
      <c r="H11" s="599">
        <f>'Office Minor'!G296</f>
        <v>118828339.7</v>
      </c>
      <c r="I11" s="599">
        <f>'Office Minor'!H296</f>
        <v>1365</v>
      </c>
    </row>
    <row r="12" spans="1:16" ht="18.75" x14ac:dyDescent="0.3">
      <c r="A12" s="596">
        <v>9</v>
      </c>
      <c r="B12" s="597" t="s">
        <v>318</v>
      </c>
      <c r="C12" s="598" t="e">
        <f>'Office Major'!#REF!</f>
        <v>#REF!</v>
      </c>
      <c r="D12" s="599">
        <f>'Office Minor'!C458</f>
        <v>271</v>
      </c>
      <c r="E12" s="598"/>
      <c r="F12" s="598"/>
      <c r="G12" s="599">
        <f>'Office Minor'!F458</f>
        <v>546721710</v>
      </c>
      <c r="H12" s="599">
        <f>'Office Minor'!G458</f>
        <v>436652501</v>
      </c>
      <c r="I12" s="599">
        <f>'Office Minor'!H458</f>
        <v>369</v>
      </c>
    </row>
    <row r="13" spans="1:16" ht="18.75" x14ac:dyDescent="0.3">
      <c r="A13" s="596">
        <v>10</v>
      </c>
      <c r="B13" s="601" t="s">
        <v>442</v>
      </c>
      <c r="C13" s="598">
        <f>J140</f>
        <v>0</v>
      </c>
      <c r="D13" s="599">
        <f>'Office Minor'!C651</f>
        <v>261</v>
      </c>
      <c r="E13" s="598"/>
      <c r="F13" s="598"/>
      <c r="G13" s="599">
        <f>'Office Minor'!F651</f>
        <v>1801337794</v>
      </c>
      <c r="H13" s="599">
        <f>'Office Minor'!G651</f>
        <v>311593669</v>
      </c>
      <c r="I13" s="599">
        <f>'Office Minor'!H651</f>
        <v>1405</v>
      </c>
    </row>
    <row r="14" spans="1:16" ht="18.75" x14ac:dyDescent="0.3">
      <c r="A14" s="596">
        <v>11</v>
      </c>
      <c r="B14" s="601" t="s">
        <v>443</v>
      </c>
      <c r="C14" s="598">
        <f>N16</f>
        <v>0</v>
      </c>
      <c r="D14" s="599">
        <f>'Office Minor'!C685</f>
        <v>50</v>
      </c>
      <c r="E14" s="598"/>
      <c r="F14" s="598"/>
      <c r="G14" s="599">
        <f>'Office Minor'!F685</f>
        <v>1384953888</v>
      </c>
      <c r="H14" s="599">
        <f>'Office Minor'!G685</f>
        <v>233017111</v>
      </c>
      <c r="I14" s="599">
        <f>'Office Minor'!H685</f>
        <v>1125</v>
      </c>
    </row>
    <row r="15" spans="1:16" ht="18.75" x14ac:dyDescent="0.3">
      <c r="A15" s="596">
        <v>12</v>
      </c>
      <c r="B15" s="597" t="s">
        <v>322</v>
      </c>
      <c r="C15" s="598">
        <f>'Office Major'!C72</f>
        <v>3</v>
      </c>
      <c r="D15" s="599">
        <f>'Office Minor'!C202</f>
        <v>376</v>
      </c>
      <c r="E15" s="598">
        <v>0</v>
      </c>
      <c r="F15" s="598">
        <v>0</v>
      </c>
      <c r="G15" s="599">
        <f>'Office Minor'!F202</f>
        <v>9475599087.625</v>
      </c>
      <c r="H15" s="599">
        <f>'Office Minor'!G202</f>
        <v>1811272232</v>
      </c>
      <c r="I15" s="599">
        <f>'Office Minor'!H202</f>
        <v>2335</v>
      </c>
    </row>
    <row r="16" spans="1:16" ht="18.75" x14ac:dyDescent="0.3">
      <c r="A16" s="596">
        <v>13</v>
      </c>
      <c r="B16" s="597" t="s">
        <v>324</v>
      </c>
      <c r="C16" s="599" t="e">
        <f>'Office Major'!#REF!</f>
        <v>#REF!</v>
      </c>
      <c r="D16" s="599">
        <f>'Office Minor'!C770</f>
        <v>8</v>
      </c>
      <c r="E16" s="598">
        <v>0</v>
      </c>
      <c r="F16" s="598">
        <v>0</v>
      </c>
      <c r="G16" s="599">
        <f>'Office Minor'!F770</f>
        <v>1770381645</v>
      </c>
      <c r="H16" s="599">
        <f>'Office Minor'!G770</f>
        <v>321699463</v>
      </c>
      <c r="I16" s="599">
        <f>'Office Minor'!H770</f>
        <v>490</v>
      </c>
    </row>
    <row r="17" spans="1:9" ht="18.75" x14ac:dyDescent="0.3">
      <c r="A17" s="596">
        <v>14</v>
      </c>
      <c r="B17" s="597" t="s">
        <v>323</v>
      </c>
      <c r="C17" s="598">
        <f>'Office Major'!C255</f>
        <v>13</v>
      </c>
      <c r="D17" s="599">
        <f>'Office Minor'!C842</f>
        <v>481</v>
      </c>
      <c r="E17" s="598"/>
      <c r="F17" s="598"/>
      <c r="G17" s="599">
        <f>'Office Minor'!F842</f>
        <v>1043855993.1999998</v>
      </c>
      <c r="H17" s="599">
        <f>'Office Minor'!G842</f>
        <v>654958962</v>
      </c>
      <c r="I17" s="599">
        <f>'Office Minor'!H842</f>
        <v>3785</v>
      </c>
    </row>
    <row r="18" spans="1:9" ht="18.75" x14ac:dyDescent="0.3">
      <c r="A18" s="596">
        <v>15</v>
      </c>
      <c r="B18" s="597" t="s">
        <v>444</v>
      </c>
      <c r="C18" s="598">
        <v>0</v>
      </c>
      <c r="D18" s="599">
        <f>'Office Minor'!C835</f>
        <v>179</v>
      </c>
      <c r="E18" s="598">
        <v>0</v>
      </c>
      <c r="F18" s="598">
        <v>0</v>
      </c>
      <c r="G18" s="599">
        <f>'Office Minor'!F835</f>
        <v>1600219257</v>
      </c>
      <c r="H18" s="599">
        <f>'Office Minor'!G835</f>
        <v>478303457</v>
      </c>
      <c r="I18" s="599">
        <f>'Office Minor'!H835</f>
        <v>735</v>
      </c>
    </row>
    <row r="19" spans="1:9" ht="18.75" x14ac:dyDescent="0.3">
      <c r="A19" s="596">
        <v>16</v>
      </c>
      <c r="B19" s="597" t="s">
        <v>326</v>
      </c>
      <c r="C19" s="598">
        <v>0</v>
      </c>
      <c r="D19" s="599">
        <f>'Office Minor'!C841</f>
        <v>80</v>
      </c>
      <c r="E19" s="598">
        <v>0</v>
      </c>
      <c r="F19" s="598">
        <v>0</v>
      </c>
      <c r="G19" s="599">
        <f>'Office Minor'!F841</f>
        <v>1491180990</v>
      </c>
      <c r="H19" s="599">
        <f>'Office Minor'!G841</f>
        <v>330418070</v>
      </c>
      <c r="I19" s="599">
        <f>'Office Minor'!H841</f>
        <v>3820</v>
      </c>
    </row>
    <row r="20" spans="1:9" ht="18.75" x14ac:dyDescent="0.3">
      <c r="A20" s="596">
        <v>17</v>
      </c>
      <c r="B20" s="597" t="s">
        <v>330</v>
      </c>
      <c r="C20" s="598">
        <f>'Office Major'!C244</f>
        <v>0</v>
      </c>
      <c r="D20" s="599">
        <f>'Office Minor'!C823</f>
        <v>331</v>
      </c>
      <c r="E20" s="598"/>
      <c r="F20" s="598"/>
      <c r="G20" s="599">
        <f>'Office Minor'!F823</f>
        <v>6554306949</v>
      </c>
      <c r="H20" s="599">
        <f>'Office Minor'!G823</f>
        <v>1232893272</v>
      </c>
      <c r="I20" s="599">
        <f>'Office Minor'!H823</f>
        <v>9235</v>
      </c>
    </row>
    <row r="21" spans="1:9" ht="18.75" x14ac:dyDescent="0.3">
      <c r="A21" s="596">
        <v>18</v>
      </c>
      <c r="B21" s="597" t="s">
        <v>328</v>
      </c>
      <c r="C21" s="598">
        <f>'Office Major'!C254</f>
        <v>2</v>
      </c>
      <c r="D21" s="599">
        <f>'Office Minor'!C843</f>
        <v>834</v>
      </c>
      <c r="E21" s="598"/>
      <c r="F21" s="598"/>
      <c r="G21" s="599">
        <f>'Office Minor'!F843</f>
        <v>4178414808</v>
      </c>
      <c r="H21" s="599">
        <f>'Office Minor'!G843</f>
        <v>1107723417.45</v>
      </c>
      <c r="I21" s="599">
        <f>'Office Minor'!H843</f>
        <v>17390</v>
      </c>
    </row>
    <row r="22" spans="1:9" ht="18.75" x14ac:dyDescent="0.3">
      <c r="A22" s="596">
        <v>19</v>
      </c>
      <c r="B22" s="597" t="s">
        <v>329</v>
      </c>
      <c r="C22" s="598">
        <v>0</v>
      </c>
      <c r="D22" s="599">
        <f>'Office Minor'!C863</f>
        <v>227</v>
      </c>
      <c r="E22" s="598"/>
      <c r="F22" s="598"/>
      <c r="G22" s="599">
        <f>'Office Minor'!F863</f>
        <v>1312110596.1290321</v>
      </c>
      <c r="H22" s="599">
        <f>'Office Minor'!G863</f>
        <v>417042448</v>
      </c>
      <c r="I22" s="599">
        <f>'Office Minor'!H863</f>
        <v>1090</v>
      </c>
    </row>
    <row r="23" spans="1:9" ht="18.75" x14ac:dyDescent="0.3">
      <c r="A23" s="596">
        <v>20</v>
      </c>
      <c r="B23" s="601" t="s">
        <v>331</v>
      </c>
      <c r="C23" s="598">
        <f>'Office Major'!C258</f>
        <v>10</v>
      </c>
      <c r="D23" s="599">
        <f>'Office Minor'!C846</f>
        <v>439</v>
      </c>
      <c r="E23" s="598"/>
      <c r="F23" s="598"/>
      <c r="G23" s="599">
        <f>'Office Minor'!F846</f>
        <v>4924044524</v>
      </c>
      <c r="H23" s="599">
        <f>'Office Minor'!G846</f>
        <v>1178481000</v>
      </c>
      <c r="I23" s="599">
        <f>'Office Minor'!H846</f>
        <v>4295</v>
      </c>
    </row>
    <row r="24" spans="1:9" ht="18.75" x14ac:dyDescent="0.3">
      <c r="A24" s="596">
        <v>21</v>
      </c>
      <c r="B24" s="597" t="s">
        <v>334</v>
      </c>
      <c r="C24" s="598">
        <f>'Office Major'!C260</f>
        <v>6</v>
      </c>
      <c r="D24" s="599">
        <f>'Office Minor'!C850</f>
        <v>334</v>
      </c>
      <c r="E24" s="598"/>
      <c r="F24" s="598"/>
      <c r="G24" s="599">
        <f>'Office Minor'!F850</f>
        <v>4782554132</v>
      </c>
      <c r="H24" s="599">
        <f>'Office Minor'!G850</f>
        <v>760486822</v>
      </c>
      <c r="I24" s="599">
        <f>'Office Minor'!H850</f>
        <v>1353</v>
      </c>
    </row>
    <row r="25" spans="1:9" ht="18.75" x14ac:dyDescent="0.3">
      <c r="A25" s="596">
        <v>22</v>
      </c>
      <c r="B25" s="601" t="s">
        <v>332</v>
      </c>
      <c r="C25" s="598">
        <f>'Office Major'!C84</f>
        <v>1</v>
      </c>
      <c r="D25" s="599">
        <f>'Office Minor'!C837</f>
        <v>123</v>
      </c>
      <c r="E25" s="598">
        <v>0</v>
      </c>
      <c r="F25" s="598">
        <v>0</v>
      </c>
      <c r="G25" s="599">
        <f>'Office Minor'!F837</f>
        <v>792263540</v>
      </c>
      <c r="H25" s="599">
        <f>'Office Minor'!G837</f>
        <v>262415251</v>
      </c>
      <c r="I25" s="599">
        <f>'Office Minor'!H837</f>
        <v>903</v>
      </c>
    </row>
    <row r="26" spans="1:9" ht="18.75" x14ac:dyDescent="0.3">
      <c r="A26" s="596">
        <v>23</v>
      </c>
      <c r="B26" s="601" t="s">
        <v>333</v>
      </c>
      <c r="C26" s="598">
        <f>'Office Major'!C262</f>
        <v>3</v>
      </c>
      <c r="D26" s="599">
        <f>'Office Minor'!C853</f>
        <v>441</v>
      </c>
      <c r="E26" s="598"/>
      <c r="F26" s="598"/>
      <c r="G26" s="599">
        <f>'Office Minor'!F853</f>
        <v>4727819605.5105352</v>
      </c>
      <c r="H26" s="599">
        <f>'Office Minor'!G853</f>
        <v>887119560</v>
      </c>
      <c r="I26" s="599">
        <f>'Office Minor'!H853</f>
        <v>3720</v>
      </c>
    </row>
    <row r="27" spans="1:9" ht="18.75" x14ac:dyDescent="0.3">
      <c r="A27" s="596">
        <v>24</v>
      </c>
      <c r="B27" s="597" t="s">
        <v>445</v>
      </c>
      <c r="C27" s="598">
        <v>0</v>
      </c>
      <c r="D27" s="599">
        <f>'Office Minor'!C868</f>
        <v>369</v>
      </c>
      <c r="E27" s="598"/>
      <c r="F27" s="598"/>
      <c r="G27" s="599">
        <f>'Office Minor'!F868</f>
        <v>7102223846</v>
      </c>
      <c r="H27" s="599">
        <f>'Office Minor'!G868</f>
        <v>807956559</v>
      </c>
      <c r="I27" s="599">
        <f>'Office Minor'!H868</f>
        <v>2480</v>
      </c>
    </row>
    <row r="28" spans="1:9" ht="18.75" x14ac:dyDescent="0.3">
      <c r="A28" s="596">
        <v>25</v>
      </c>
      <c r="B28" s="597" t="s">
        <v>337</v>
      </c>
      <c r="C28" s="599">
        <f>'Office Major'!C140</f>
        <v>1</v>
      </c>
      <c r="D28" s="599">
        <f>'Office Minor'!C472</f>
        <v>92</v>
      </c>
      <c r="E28" s="598">
        <v>0</v>
      </c>
      <c r="F28" s="598">
        <v>0</v>
      </c>
      <c r="G28" s="599">
        <f>'Office Minor'!F472</f>
        <v>888985351</v>
      </c>
      <c r="H28" s="599">
        <f>'Office Minor'!G472</f>
        <v>331071149</v>
      </c>
      <c r="I28" s="599">
        <f>'Office Minor'!H472</f>
        <v>658</v>
      </c>
    </row>
    <row r="29" spans="1:9" ht="18.75" x14ac:dyDescent="0.3">
      <c r="A29" s="596">
        <v>26</v>
      </c>
      <c r="B29" s="597" t="s">
        <v>338</v>
      </c>
      <c r="C29" s="598">
        <f>'Cerclewise  ML QL'!C41</f>
        <v>1</v>
      </c>
      <c r="D29" s="599">
        <f>'Cerclewise  ML QL'!D41</f>
        <v>64</v>
      </c>
      <c r="E29" s="598">
        <v>0</v>
      </c>
      <c r="F29" s="598">
        <v>0</v>
      </c>
      <c r="G29" s="599">
        <f>'Cerclewise  ML QL'!G41</f>
        <v>0</v>
      </c>
      <c r="H29" s="599">
        <f>'Cerclewise  ML QL'!H41</f>
        <v>0</v>
      </c>
      <c r="I29" s="599">
        <f>'Cerclewise  ML QL'!I41</f>
        <v>0</v>
      </c>
    </row>
    <row r="30" spans="1:9" ht="18.75" x14ac:dyDescent="0.3">
      <c r="A30" s="596">
        <v>27</v>
      </c>
      <c r="B30" s="597" t="s">
        <v>339</v>
      </c>
      <c r="C30" s="598">
        <f>'Cerclewise  ML QL'!C42</f>
        <v>0</v>
      </c>
      <c r="D30" s="598">
        <f>'Cerclewise  ML QL'!D42</f>
        <v>199</v>
      </c>
      <c r="E30" s="598"/>
      <c r="F30" s="598"/>
      <c r="G30" s="598">
        <f>'Cerclewise  ML QL'!G42</f>
        <v>0</v>
      </c>
      <c r="H30" s="598">
        <f>'Cerclewise  ML QL'!H42</f>
        <v>0</v>
      </c>
      <c r="I30" s="598">
        <f>'Cerclewise  ML QL'!I42</f>
        <v>0</v>
      </c>
    </row>
    <row r="31" spans="1:9" ht="18.75" x14ac:dyDescent="0.3">
      <c r="A31" s="596">
        <v>28</v>
      </c>
      <c r="B31" s="597" t="s">
        <v>340</v>
      </c>
      <c r="C31" s="598">
        <f>'Cerclewise  ML QL'!C43</f>
        <v>0</v>
      </c>
      <c r="D31" s="598">
        <f>'Cerclewise  ML QL'!D43</f>
        <v>440</v>
      </c>
      <c r="E31" s="598"/>
      <c r="F31" s="598"/>
      <c r="G31" s="598">
        <f>'Cerclewise  ML QL'!G43</f>
        <v>0</v>
      </c>
      <c r="H31" s="598">
        <f>'Cerclewise  ML QL'!H43</f>
        <v>0</v>
      </c>
      <c r="I31" s="598">
        <f>'Cerclewise  ML QL'!I43</f>
        <v>0</v>
      </c>
    </row>
    <row r="32" spans="1:9" ht="18.75" x14ac:dyDescent="0.3">
      <c r="A32" s="596">
        <v>29</v>
      </c>
      <c r="B32" s="597" t="s">
        <v>446</v>
      </c>
      <c r="C32" s="598">
        <f>'Cerclewise  ML QL'!C45</f>
        <v>0</v>
      </c>
      <c r="D32" s="598">
        <f>'Cerclewise  ML QL'!D45</f>
        <v>48</v>
      </c>
      <c r="E32" s="598">
        <v>0</v>
      </c>
      <c r="F32" s="598">
        <v>0</v>
      </c>
      <c r="G32" s="598">
        <f>'Cerclewise  ML QL'!G45</f>
        <v>0</v>
      </c>
      <c r="H32" s="598">
        <f>'Cerclewise  ML QL'!H45</f>
        <v>0</v>
      </c>
      <c r="I32" s="598">
        <f>'Cerclewise  ML QL'!I45</f>
        <v>0</v>
      </c>
    </row>
    <row r="33" spans="1:9" ht="18.75" x14ac:dyDescent="0.3">
      <c r="A33" s="596">
        <v>30</v>
      </c>
      <c r="B33" s="597" t="s">
        <v>341</v>
      </c>
      <c r="C33" s="598">
        <f>'Cerclewise  ML QL'!C44</f>
        <v>0</v>
      </c>
      <c r="D33" s="598">
        <f>'Cerclewise  ML QL'!D44</f>
        <v>153</v>
      </c>
      <c r="E33" s="598"/>
      <c r="F33" s="598"/>
      <c r="G33" s="598">
        <f>'Cerclewise  ML QL'!G44</f>
        <v>0</v>
      </c>
      <c r="H33" s="598">
        <f>'Cerclewise  ML QL'!H44</f>
        <v>0</v>
      </c>
      <c r="I33" s="598">
        <f>'Cerclewise  ML QL'!I44</f>
        <v>0</v>
      </c>
    </row>
    <row r="34" spans="1:9" ht="18.75" x14ac:dyDescent="0.3">
      <c r="A34" s="596">
        <v>31</v>
      </c>
      <c r="B34" s="597" t="s">
        <v>344</v>
      </c>
      <c r="C34" s="598">
        <f>'Cerclewise  ML QL'!C48</f>
        <v>1</v>
      </c>
      <c r="D34" s="598">
        <f>'Cerclewise  ML QL'!D48</f>
        <v>453</v>
      </c>
      <c r="E34" s="598"/>
      <c r="F34" s="598"/>
      <c r="G34" s="598">
        <f>'Cerclewise  ML QL'!G48</f>
        <v>0</v>
      </c>
      <c r="H34" s="598">
        <f>'Cerclewise  ML QL'!H48</f>
        <v>0</v>
      </c>
      <c r="I34" s="598">
        <f>'Cerclewise  ML QL'!I48</f>
        <v>0</v>
      </c>
    </row>
    <row r="35" spans="1:9" ht="18.75" x14ac:dyDescent="0.3">
      <c r="A35" s="596">
        <v>32</v>
      </c>
      <c r="B35" s="597" t="s">
        <v>345</v>
      </c>
      <c r="C35" s="598">
        <f>'Cerclewise  ML QL'!C49</f>
        <v>8</v>
      </c>
      <c r="D35" s="598">
        <f>'Cerclewise  ML QL'!D49</f>
        <v>441</v>
      </c>
      <c r="E35" s="598"/>
      <c r="F35" s="598"/>
      <c r="G35" s="598">
        <f>'Cerclewise  ML QL'!G49</f>
        <v>0</v>
      </c>
      <c r="H35" s="598">
        <f>'Cerclewise  ML QL'!H49</f>
        <v>0</v>
      </c>
      <c r="I35" s="598">
        <f>'Cerclewise  ML QL'!I49</f>
        <v>0</v>
      </c>
    </row>
    <row r="36" spans="1:9" ht="18.75" x14ac:dyDescent="0.3">
      <c r="A36" s="596">
        <v>33</v>
      </c>
      <c r="B36" s="597" t="s">
        <v>349</v>
      </c>
      <c r="C36" s="598">
        <f>'Cerclewise  ML QL'!C53</f>
        <v>0</v>
      </c>
      <c r="D36" s="598">
        <f>'Cerclewise  ML QL'!D53</f>
        <v>164</v>
      </c>
      <c r="E36" s="598">
        <v>0</v>
      </c>
      <c r="F36" s="598">
        <v>0</v>
      </c>
      <c r="G36" s="598">
        <f>'Cerclewise  ML QL'!G53</f>
        <v>0</v>
      </c>
      <c r="H36" s="598">
        <f>'Cerclewise  ML QL'!H53</f>
        <v>0</v>
      </c>
      <c r="I36" s="598">
        <f>'Cerclewise  ML QL'!I53</f>
        <v>0</v>
      </c>
    </row>
    <row r="37" spans="1:9" ht="18.75" x14ac:dyDescent="0.3">
      <c r="A37" s="596">
        <v>34</v>
      </c>
      <c r="B37" s="597" t="s">
        <v>346</v>
      </c>
      <c r="C37" s="598">
        <f>'Cerclewise  ML QL'!C50</f>
        <v>15</v>
      </c>
      <c r="D37" s="598">
        <f>'Cerclewise  ML QL'!D50</f>
        <v>528</v>
      </c>
      <c r="E37" s="598"/>
      <c r="F37" s="598"/>
      <c r="G37" s="598">
        <f>'Cerclewise  ML QL'!G50</f>
        <v>0</v>
      </c>
      <c r="H37" s="598">
        <f>'Cerclewise  ML QL'!H50</f>
        <v>0</v>
      </c>
      <c r="I37" s="598">
        <f>'Cerclewise  ML QL'!I50</f>
        <v>0</v>
      </c>
    </row>
    <row r="38" spans="1:9" ht="18.75" x14ac:dyDescent="0.3">
      <c r="A38" s="596">
        <v>35</v>
      </c>
      <c r="B38" s="597" t="s">
        <v>347</v>
      </c>
      <c r="C38" s="598">
        <f>'Cerclewise  ML QL'!C51</f>
        <v>8</v>
      </c>
      <c r="D38" s="598">
        <f>'Cerclewise  ML QL'!D51</f>
        <v>592</v>
      </c>
      <c r="E38" s="598">
        <v>0</v>
      </c>
      <c r="F38" s="598">
        <v>0</v>
      </c>
      <c r="G38" s="598">
        <f>'Cerclewise  ML QL'!G51</f>
        <v>0</v>
      </c>
      <c r="H38" s="598">
        <f>'Cerclewise  ML QL'!H51</f>
        <v>0</v>
      </c>
      <c r="I38" s="598">
        <f>'Cerclewise  ML QL'!I51</f>
        <v>0</v>
      </c>
    </row>
    <row r="39" spans="1:9" ht="18.75" x14ac:dyDescent="0.3">
      <c r="A39" s="596">
        <v>36</v>
      </c>
      <c r="B39" s="597" t="s">
        <v>348</v>
      </c>
      <c r="C39" s="598">
        <f>'Cerclewise  ML QL'!C52</f>
        <v>5</v>
      </c>
      <c r="D39" s="598">
        <f>'Cerclewise  ML QL'!D52</f>
        <v>618</v>
      </c>
      <c r="E39" s="598">
        <v>0</v>
      </c>
      <c r="F39" s="598">
        <v>0</v>
      </c>
      <c r="G39" s="598">
        <f>'Cerclewise  ML QL'!G52</f>
        <v>0</v>
      </c>
      <c r="H39" s="598">
        <f>'Cerclewise  ML QL'!H52</f>
        <v>0</v>
      </c>
      <c r="I39" s="598">
        <f>'Cerclewise  ML QL'!I52</f>
        <v>0</v>
      </c>
    </row>
    <row r="40" spans="1:9" ht="18.75" x14ac:dyDescent="0.3">
      <c r="A40" s="596">
        <v>37</v>
      </c>
      <c r="B40" s="597" t="s">
        <v>351</v>
      </c>
      <c r="C40" s="598">
        <f>'Office Major'!C248</f>
        <v>11</v>
      </c>
      <c r="D40" s="599">
        <f>'Office Minor'!C831</f>
        <v>1492</v>
      </c>
      <c r="E40" s="598">
        <v>0</v>
      </c>
      <c r="F40" s="598">
        <v>0</v>
      </c>
      <c r="G40" s="599">
        <f>'Office Minor'!F831</f>
        <v>8742354726.770153</v>
      </c>
      <c r="H40" s="599">
        <f>'Office Minor'!G831</f>
        <v>1426959526</v>
      </c>
      <c r="I40" s="599">
        <f>'Office Minor'!H831</f>
        <v>11804</v>
      </c>
    </row>
    <row r="41" spans="1:9" ht="18.75" x14ac:dyDescent="0.3">
      <c r="A41" s="596">
        <v>38</v>
      </c>
      <c r="B41" s="597" t="s">
        <v>352</v>
      </c>
      <c r="C41" s="598">
        <f>'Cerclewise  ML QL'!C57</f>
        <v>0</v>
      </c>
      <c r="D41" s="598">
        <f>'Cerclewise  ML QL'!D57</f>
        <v>19</v>
      </c>
      <c r="E41" s="598">
        <v>0</v>
      </c>
      <c r="F41" s="598">
        <v>0</v>
      </c>
      <c r="G41" s="598">
        <f>'Cerclewise  ML QL'!G57</f>
        <v>0</v>
      </c>
      <c r="H41" s="598">
        <f>'Cerclewise  ML QL'!H57</f>
        <v>0</v>
      </c>
      <c r="I41" s="598">
        <f>'Cerclewise  ML QL'!I57</f>
        <v>0</v>
      </c>
    </row>
    <row r="42" spans="1:9" ht="18.75" x14ac:dyDescent="0.3">
      <c r="A42" s="596">
        <v>39</v>
      </c>
      <c r="B42" s="597" t="s">
        <v>353</v>
      </c>
      <c r="C42" s="599">
        <f>'Cerclewise  ML QL'!C58</f>
        <v>2</v>
      </c>
      <c r="D42" s="599">
        <f>'Cerclewise  ML QL'!D58</f>
        <v>110</v>
      </c>
      <c r="E42" s="598"/>
      <c r="F42" s="598"/>
      <c r="G42" s="599">
        <f>'Cerclewise  ML QL'!G58</f>
        <v>0</v>
      </c>
      <c r="H42" s="599">
        <f>'Cerclewise  ML QL'!H58</f>
        <v>0</v>
      </c>
      <c r="I42" s="599">
        <f>'Cerclewise  ML QL'!I58</f>
        <v>0</v>
      </c>
    </row>
    <row r="43" spans="1:9" ht="18.75" x14ac:dyDescent="0.3">
      <c r="A43" s="596">
        <v>40</v>
      </c>
      <c r="B43" s="597" t="s">
        <v>354</v>
      </c>
      <c r="C43" s="599">
        <f>'Cerclewise  ML QL'!C59</f>
        <v>10</v>
      </c>
      <c r="D43" s="599">
        <f>'Cerclewise  ML QL'!D59</f>
        <v>89</v>
      </c>
      <c r="E43" s="598">
        <v>0</v>
      </c>
      <c r="F43" s="598">
        <v>0</v>
      </c>
      <c r="G43" s="599">
        <f>'Cerclewise  ML QL'!G59</f>
        <v>0</v>
      </c>
      <c r="H43" s="599">
        <f>'Cerclewise  ML QL'!H59</f>
        <v>0</v>
      </c>
      <c r="I43" s="599">
        <f>'Cerclewise  ML QL'!I59</f>
        <v>0</v>
      </c>
    </row>
    <row r="44" spans="1:9" ht="18.75" x14ac:dyDescent="0.3">
      <c r="A44" s="596">
        <v>41</v>
      </c>
      <c r="B44" s="597" t="s">
        <v>358</v>
      </c>
      <c r="C44" s="598">
        <f>'Cerclewise  ML QL'!C64</f>
        <v>1</v>
      </c>
      <c r="D44" s="598">
        <f>'Cerclewise  ML QL'!D64</f>
        <v>969</v>
      </c>
      <c r="E44" s="598"/>
      <c r="F44" s="598"/>
      <c r="G44" s="598">
        <f>'Cerclewise  ML QL'!G64</f>
        <v>0</v>
      </c>
      <c r="H44" s="598">
        <f>'Cerclewise  ML QL'!H64</f>
        <v>0</v>
      </c>
      <c r="I44" s="598">
        <f>'Cerclewise  ML QL'!I64</f>
        <v>0</v>
      </c>
    </row>
    <row r="45" spans="1:9" ht="18.75" x14ac:dyDescent="0.3">
      <c r="A45" s="596">
        <v>42</v>
      </c>
      <c r="B45" s="597" t="s">
        <v>356</v>
      </c>
      <c r="C45" s="598">
        <f>'Cerclewise  ML QL'!C62</f>
        <v>0</v>
      </c>
      <c r="D45" s="598">
        <f>'Cerclewise  ML QL'!D62</f>
        <v>634</v>
      </c>
      <c r="E45" s="598"/>
      <c r="F45" s="598"/>
      <c r="G45" s="598">
        <f>'Cerclewise  ML QL'!G62</f>
        <v>0</v>
      </c>
      <c r="H45" s="598">
        <f>'Cerclewise  ML QL'!H62</f>
        <v>0</v>
      </c>
      <c r="I45" s="598">
        <f>'Cerclewise  ML QL'!I62</f>
        <v>0</v>
      </c>
    </row>
    <row r="46" spans="1:9" ht="18.75" x14ac:dyDescent="0.3">
      <c r="A46" s="596">
        <v>43</v>
      </c>
      <c r="B46" s="597" t="s">
        <v>357</v>
      </c>
      <c r="C46" s="598">
        <f>'Cerclewise  ML QL'!C63</f>
        <v>3</v>
      </c>
      <c r="D46" s="598">
        <f>'Cerclewise  ML QL'!D63</f>
        <v>622</v>
      </c>
      <c r="E46" s="598"/>
      <c r="F46" s="598"/>
      <c r="G46" s="598">
        <f>'Cerclewise  ML QL'!G63</f>
        <v>0</v>
      </c>
      <c r="H46" s="598">
        <f>'Cerclewise  ML QL'!H63</f>
        <v>0</v>
      </c>
      <c r="I46" s="598">
        <f>'Cerclewise  ML QL'!I63</f>
        <v>0</v>
      </c>
    </row>
    <row r="47" spans="1:9" ht="18.75" x14ac:dyDescent="0.3">
      <c r="A47" s="596">
        <v>44</v>
      </c>
      <c r="B47" s="597" t="s">
        <v>360</v>
      </c>
      <c r="C47" s="598">
        <f>'Cerclewise  ML QL'!C67</f>
        <v>6</v>
      </c>
      <c r="D47" s="598">
        <f>'Cerclewise  ML QL'!D67</f>
        <v>506</v>
      </c>
      <c r="E47" s="598"/>
      <c r="F47" s="598"/>
      <c r="G47" s="598">
        <f>'Cerclewise  ML QL'!G67</f>
        <v>0</v>
      </c>
      <c r="H47" s="598">
        <f>'Cerclewise  ML QL'!H67</f>
        <v>0</v>
      </c>
      <c r="I47" s="598">
        <f>'Cerclewise  ML QL'!I67</f>
        <v>0</v>
      </c>
    </row>
    <row r="48" spans="1:9" ht="18.75" x14ac:dyDescent="0.3">
      <c r="A48" s="596">
        <v>45</v>
      </c>
      <c r="B48" s="597" t="s">
        <v>361</v>
      </c>
      <c r="C48" s="598">
        <f>'Cerclewise  ML QL'!C68</f>
        <v>0</v>
      </c>
      <c r="D48" s="598">
        <f>'Cerclewise  ML QL'!D68</f>
        <v>125</v>
      </c>
      <c r="E48" s="598"/>
      <c r="F48" s="598"/>
      <c r="G48" s="598">
        <f>'Cerclewise  ML QL'!G68</f>
        <v>0</v>
      </c>
      <c r="H48" s="598">
        <f>'Cerclewise  ML QL'!H68</f>
        <v>0</v>
      </c>
      <c r="I48" s="598">
        <f>'Cerclewise  ML QL'!I68</f>
        <v>0</v>
      </c>
    </row>
    <row r="49" spans="1:9" ht="18.75" x14ac:dyDescent="0.3">
      <c r="A49" s="596">
        <v>46</v>
      </c>
      <c r="B49" s="597" t="s">
        <v>362</v>
      </c>
      <c r="C49" s="598">
        <f>'Cerclewise  ML QL'!C69</f>
        <v>0</v>
      </c>
      <c r="D49" s="598">
        <f>'Cerclewise  ML QL'!D69</f>
        <v>163</v>
      </c>
      <c r="E49" s="598"/>
      <c r="F49" s="598"/>
      <c r="G49" s="598">
        <f>'Cerclewise  ML QL'!G69</f>
        <v>0</v>
      </c>
      <c r="H49" s="598">
        <f>'Cerclewise  ML QL'!H69</f>
        <v>0</v>
      </c>
      <c r="I49" s="598">
        <f>'Cerclewise  ML QL'!I69</f>
        <v>0</v>
      </c>
    </row>
    <row r="50" spans="1:9" ht="18.75" x14ac:dyDescent="0.3">
      <c r="A50" s="596">
        <v>47</v>
      </c>
      <c r="B50" s="597" t="s">
        <v>363</v>
      </c>
      <c r="C50" s="598">
        <f>'Cerclewise  ML QL'!C70</f>
        <v>0</v>
      </c>
      <c r="D50" s="598">
        <f>'Cerclewise  ML QL'!D70</f>
        <v>94</v>
      </c>
      <c r="E50" s="598">
        <v>0</v>
      </c>
      <c r="F50" s="598">
        <v>0</v>
      </c>
      <c r="G50" s="598">
        <f>'Cerclewise  ML QL'!G70</f>
        <v>0</v>
      </c>
      <c r="H50" s="598">
        <f>'Cerclewise  ML QL'!H70</f>
        <v>0</v>
      </c>
      <c r="I50" s="598">
        <f>'Cerclewise  ML QL'!I70</f>
        <v>0</v>
      </c>
    </row>
    <row r="51" spans="1:9" ht="18.75" x14ac:dyDescent="0.3">
      <c r="A51" s="596">
        <v>48</v>
      </c>
      <c r="B51" s="597" t="s">
        <v>447</v>
      </c>
      <c r="C51" s="598">
        <f>'Cerclewise  ML QL'!C71</f>
        <v>2</v>
      </c>
      <c r="D51" s="598">
        <f>'Cerclewise  ML QL'!D71</f>
        <v>157</v>
      </c>
      <c r="E51" s="598"/>
      <c r="F51" s="598"/>
      <c r="G51" s="598">
        <f>'Cerclewise  ML QL'!G71</f>
        <v>0</v>
      </c>
      <c r="H51" s="598">
        <f>'Cerclewise  ML QL'!H71</f>
        <v>0</v>
      </c>
      <c r="I51" s="598">
        <f>'Cerclewise  ML QL'!I71</f>
        <v>0</v>
      </c>
    </row>
    <row r="52" spans="1:9" ht="18.75" x14ac:dyDescent="0.3">
      <c r="A52" s="596">
        <v>49</v>
      </c>
      <c r="B52" s="597" t="s">
        <v>448</v>
      </c>
      <c r="C52" s="598">
        <f>'Cerclewise  ML QL'!C72</f>
        <v>1</v>
      </c>
      <c r="D52" s="598">
        <f>'Cerclewise  ML QL'!D72</f>
        <v>171</v>
      </c>
      <c r="E52" s="598">
        <v>0</v>
      </c>
      <c r="F52" s="598">
        <v>0</v>
      </c>
      <c r="G52" s="598">
        <f>'Cerclewise  ML QL'!G72</f>
        <v>0</v>
      </c>
      <c r="H52" s="598">
        <f>'Cerclewise  ML QL'!H72</f>
        <v>0</v>
      </c>
      <c r="I52" s="598">
        <f>'Cerclewise  ML QL'!I72</f>
        <v>0</v>
      </c>
    </row>
    <row r="53" spans="1:9" ht="18.75" x14ac:dyDescent="0.3">
      <c r="A53" s="1363" t="s">
        <v>50</v>
      </c>
      <c r="B53" s="1364"/>
      <c r="C53" s="607" t="e">
        <f t="shared" ref="C53:I53" si="0">SUM(C4:C52)</f>
        <v>#REF!</v>
      </c>
      <c r="D53" s="607">
        <f t="shared" si="0"/>
        <v>17005</v>
      </c>
      <c r="E53" s="607">
        <f t="shared" si="0"/>
        <v>0</v>
      </c>
      <c r="F53" s="607">
        <f t="shared" si="0"/>
        <v>0</v>
      </c>
      <c r="G53" s="607">
        <f t="shared" si="0"/>
        <v>66392629862.234726</v>
      </c>
      <c r="H53" s="607">
        <f t="shared" si="0"/>
        <v>14142473417.15</v>
      </c>
      <c r="I53" s="607">
        <f t="shared" si="0"/>
        <v>74977</v>
      </c>
    </row>
    <row r="54" spans="1:9" x14ac:dyDescent="0.25">
      <c r="A54" s="1366"/>
      <c r="B54" s="1366"/>
      <c r="C54" s="1366"/>
      <c r="D54" s="1366"/>
      <c r="E54" s="1366"/>
      <c r="F54" s="1366"/>
      <c r="G54" s="1366"/>
      <c r="H54" s="1366"/>
    </row>
  </sheetData>
  <autoFilter ref="H1:H54"/>
  <mergeCells count="12">
    <mergeCell ref="I2:I3"/>
    <mergeCell ref="A53:B53"/>
    <mergeCell ref="A1:I1"/>
    <mergeCell ref="A54:H54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view="pageBreakPreview" zoomScale="85" zoomScaleSheetLayoutView="85" workbookViewId="0">
      <selection activeCell="A75" sqref="A75:H75"/>
    </sheetView>
  </sheetViews>
  <sheetFormatPr defaultRowHeight="15" x14ac:dyDescent="0.25"/>
  <cols>
    <col min="2" max="2" width="33.85546875" bestFit="1" customWidth="1"/>
    <col min="3" max="3" width="12.140625" bestFit="1" customWidth="1"/>
    <col min="4" max="4" width="14.85546875" bestFit="1" customWidth="1"/>
    <col min="5" max="7" width="14.85546875" customWidth="1"/>
    <col min="8" max="8" width="14.85546875" bestFit="1" customWidth="1"/>
  </cols>
  <sheetData>
    <row r="1" spans="1:8" ht="31.5" customHeight="1" x14ac:dyDescent="0.25">
      <c r="A1" s="1311" t="s">
        <v>180</v>
      </c>
      <c r="B1" s="1311"/>
      <c r="C1" s="1311"/>
      <c r="D1" s="1311"/>
      <c r="E1" s="1311"/>
      <c r="F1" s="1311"/>
      <c r="G1" s="1311"/>
      <c r="H1" s="1311"/>
    </row>
    <row r="2" spans="1:8" ht="27" x14ac:dyDescent="0.25">
      <c r="A2" s="1375" t="str">
        <f>'Revenue Major Minor'!A2:E2</f>
        <v>Financial Year 2023-24</v>
      </c>
      <c r="B2" s="1376"/>
      <c r="C2" s="1376"/>
      <c r="D2" s="1376"/>
      <c r="E2" s="1376"/>
      <c r="F2" s="1376"/>
      <c r="G2" s="1376"/>
      <c r="H2" s="1376"/>
    </row>
    <row r="3" spans="1:8" ht="22.5" x14ac:dyDescent="0.25">
      <c r="A3" s="1282"/>
      <c r="B3" s="1282"/>
      <c r="C3" s="1282"/>
      <c r="D3" s="1282"/>
      <c r="E3" s="1282"/>
      <c r="F3" s="1282"/>
      <c r="G3" s="1282"/>
      <c r="H3" s="1282"/>
    </row>
    <row r="5" spans="1:8" ht="22.5" customHeight="1" x14ac:dyDescent="0.25">
      <c r="A5" s="1317" t="s">
        <v>303</v>
      </c>
      <c r="B5" s="1319" t="s">
        <v>304</v>
      </c>
      <c r="C5" s="1313" t="s">
        <v>305</v>
      </c>
      <c r="D5" s="1313" t="s">
        <v>306</v>
      </c>
      <c r="E5" s="1313" t="s">
        <v>307</v>
      </c>
      <c r="F5" s="1313" t="s">
        <v>506</v>
      </c>
      <c r="G5" s="1313" t="s">
        <v>504</v>
      </c>
      <c r="H5" s="1313" t="s">
        <v>505</v>
      </c>
    </row>
    <row r="6" spans="1:8" ht="45.75" customHeight="1" x14ac:dyDescent="0.25">
      <c r="A6" s="1318"/>
      <c r="B6" s="1319"/>
      <c r="C6" s="1314"/>
      <c r="D6" s="1314"/>
      <c r="E6" s="1314"/>
      <c r="F6" s="1314"/>
      <c r="G6" s="1314"/>
      <c r="H6" s="1314"/>
    </row>
    <row r="7" spans="1:8" ht="27.75" x14ac:dyDescent="0.4">
      <c r="A7" s="91">
        <v>1</v>
      </c>
      <c r="B7" s="104" t="s">
        <v>308</v>
      </c>
      <c r="C7" s="1320"/>
      <c r="D7" s="1321"/>
      <c r="E7" s="1321"/>
      <c r="F7" s="1321"/>
      <c r="G7" s="1321"/>
      <c r="H7" s="1322"/>
    </row>
    <row r="8" spans="1:8" ht="26.25" x14ac:dyDescent="0.4">
      <c r="A8" s="98">
        <v>1</v>
      </c>
      <c r="B8" s="99" t="s">
        <v>309</v>
      </c>
      <c r="C8" s="83"/>
      <c r="D8" s="83"/>
      <c r="E8" s="83"/>
      <c r="F8" s="83"/>
      <c r="G8" s="83">
        <v>26</v>
      </c>
      <c r="H8" s="83"/>
    </row>
    <row r="9" spans="1:8" ht="26.25" x14ac:dyDescent="0.4">
      <c r="A9" s="98">
        <v>2</v>
      </c>
      <c r="B9" s="99" t="s">
        <v>310</v>
      </c>
      <c r="C9" s="83"/>
      <c r="D9" s="83"/>
      <c r="E9" s="83"/>
      <c r="F9" s="83"/>
      <c r="G9" s="83">
        <v>182</v>
      </c>
      <c r="H9" s="83"/>
    </row>
    <row r="10" spans="1:8" ht="26.25" x14ac:dyDescent="0.4">
      <c r="A10" s="98">
        <v>3</v>
      </c>
      <c r="B10" s="99" t="s">
        <v>311</v>
      </c>
      <c r="C10" s="83"/>
      <c r="D10" s="83"/>
      <c r="E10" s="83"/>
      <c r="F10" s="83"/>
      <c r="G10" s="83">
        <v>0</v>
      </c>
      <c r="H10" s="83"/>
    </row>
    <row r="11" spans="1:8" ht="26.25" x14ac:dyDescent="0.4">
      <c r="A11" s="100">
        <v>4</v>
      </c>
      <c r="B11" s="99" t="s">
        <v>312</v>
      </c>
      <c r="C11" s="83"/>
      <c r="D11" s="83"/>
      <c r="E11" s="83"/>
      <c r="F11" s="83"/>
      <c r="G11" s="83">
        <v>7</v>
      </c>
      <c r="H11" s="84"/>
    </row>
    <row r="12" spans="1:8" ht="26.25" x14ac:dyDescent="0.4">
      <c r="A12" s="100">
        <v>5</v>
      </c>
      <c r="B12" s="99" t="s">
        <v>313</v>
      </c>
      <c r="C12" s="83"/>
      <c r="D12" s="83"/>
      <c r="E12" s="83"/>
      <c r="F12" s="83"/>
      <c r="G12" s="83">
        <v>0</v>
      </c>
      <c r="H12" s="84"/>
    </row>
    <row r="13" spans="1:8" ht="26.25" x14ac:dyDescent="0.4">
      <c r="A13" s="100">
        <v>6</v>
      </c>
      <c r="B13" s="99" t="s">
        <v>314</v>
      </c>
      <c r="C13" s="84"/>
      <c r="D13" s="83"/>
      <c r="E13" s="83"/>
      <c r="F13" s="83"/>
      <c r="G13" s="83">
        <v>0</v>
      </c>
      <c r="H13" s="84"/>
    </row>
    <row r="14" spans="1:8" ht="26.25" x14ac:dyDescent="0.4">
      <c r="A14" s="1315" t="s">
        <v>50</v>
      </c>
      <c r="B14" s="1316"/>
      <c r="C14" s="88">
        <f>SUM(C8:C13)</f>
        <v>0</v>
      </c>
      <c r="D14" s="88">
        <f t="shared" ref="D14:H14" si="0">SUM(D8:D13)</f>
        <v>0</v>
      </c>
      <c r="E14" s="88">
        <f t="shared" si="0"/>
        <v>0</v>
      </c>
      <c r="F14" s="88">
        <f t="shared" si="0"/>
        <v>0</v>
      </c>
      <c r="G14" s="88">
        <f t="shared" si="0"/>
        <v>215</v>
      </c>
      <c r="H14" s="88">
        <f t="shared" si="0"/>
        <v>0</v>
      </c>
    </row>
    <row r="15" spans="1:8" ht="27.75" x14ac:dyDescent="0.4">
      <c r="A15" s="101">
        <v>2</v>
      </c>
      <c r="B15" s="105" t="s">
        <v>315</v>
      </c>
      <c r="C15" s="1323"/>
      <c r="D15" s="1324"/>
      <c r="E15" s="1324"/>
      <c r="F15" s="1324"/>
      <c r="G15" s="1324"/>
      <c r="H15" s="1325"/>
    </row>
    <row r="16" spans="1:8" ht="26.25" x14ac:dyDescent="0.4">
      <c r="A16" s="99">
        <v>1</v>
      </c>
      <c r="B16" s="99" t="s">
        <v>316</v>
      </c>
      <c r="C16" s="86"/>
      <c r="D16" s="87"/>
      <c r="E16" s="87"/>
      <c r="F16" s="87"/>
      <c r="G16" s="87">
        <v>79</v>
      </c>
      <c r="H16" s="87"/>
    </row>
    <row r="17" spans="1:8" ht="26.25" x14ac:dyDescent="0.4">
      <c r="A17" s="99">
        <v>2</v>
      </c>
      <c r="B17" s="99" t="s">
        <v>317</v>
      </c>
      <c r="C17" s="87"/>
      <c r="D17" s="87"/>
      <c r="E17" s="87"/>
      <c r="F17" s="87"/>
      <c r="G17" s="87">
        <v>0</v>
      </c>
      <c r="H17" s="87"/>
    </row>
    <row r="18" spans="1:8" ht="26.25" x14ac:dyDescent="0.4">
      <c r="A18" s="99">
        <v>3</v>
      </c>
      <c r="B18" s="99" t="s">
        <v>318</v>
      </c>
      <c r="C18" s="87"/>
      <c r="D18" s="87"/>
      <c r="E18" s="87"/>
      <c r="F18" s="87"/>
      <c r="G18" s="87">
        <v>0</v>
      </c>
      <c r="H18" s="87"/>
    </row>
    <row r="19" spans="1:8" ht="26.25" x14ac:dyDescent="0.4">
      <c r="A19" s="102">
        <v>4</v>
      </c>
      <c r="B19" s="99" t="s">
        <v>319</v>
      </c>
      <c r="C19" s="87"/>
      <c r="D19" s="87"/>
      <c r="E19" s="87"/>
      <c r="F19" s="87"/>
      <c r="G19" s="87">
        <v>0</v>
      </c>
      <c r="H19" s="87"/>
    </row>
    <row r="20" spans="1:8" ht="26.25" x14ac:dyDescent="0.4">
      <c r="A20" s="102">
        <v>5</v>
      </c>
      <c r="B20" s="98" t="s">
        <v>320</v>
      </c>
      <c r="C20" s="83"/>
      <c r="D20" s="83"/>
      <c r="E20" s="83"/>
      <c r="F20" s="83"/>
      <c r="G20" s="83">
        <v>0</v>
      </c>
      <c r="H20" s="87"/>
    </row>
    <row r="21" spans="1:8" ht="26.25" x14ac:dyDescent="0.4">
      <c r="A21" s="1315" t="s">
        <v>50</v>
      </c>
      <c r="B21" s="1316"/>
      <c r="C21" s="88">
        <f>SUM(C16:C20)</f>
        <v>0</v>
      </c>
      <c r="D21" s="88">
        <f t="shared" ref="D21:H21" si="1">SUM(D16:D20)</f>
        <v>0</v>
      </c>
      <c r="E21" s="88">
        <f t="shared" si="1"/>
        <v>0</v>
      </c>
      <c r="F21" s="88">
        <f t="shared" si="1"/>
        <v>0</v>
      </c>
      <c r="G21" s="88">
        <f t="shared" si="1"/>
        <v>79</v>
      </c>
      <c r="H21" s="88">
        <f t="shared" si="1"/>
        <v>0</v>
      </c>
    </row>
    <row r="22" spans="1:8" ht="27.75" x14ac:dyDescent="0.4">
      <c r="A22" s="100">
        <v>3</v>
      </c>
      <c r="B22" s="106" t="s">
        <v>321</v>
      </c>
      <c r="C22" s="1326"/>
      <c r="D22" s="1327"/>
      <c r="E22" s="1327"/>
      <c r="F22" s="1327"/>
      <c r="G22" s="1327"/>
      <c r="H22" s="1328"/>
    </row>
    <row r="23" spans="1:8" ht="26.25" x14ac:dyDescent="0.4">
      <c r="A23" s="99">
        <v>1</v>
      </c>
      <c r="B23" s="99" t="s">
        <v>322</v>
      </c>
      <c r="C23" s="87"/>
      <c r="D23" s="87"/>
      <c r="E23" s="87"/>
      <c r="F23" s="87"/>
      <c r="G23" s="87">
        <v>280</v>
      </c>
      <c r="H23" s="87"/>
    </row>
    <row r="24" spans="1:8" ht="26.25" x14ac:dyDescent="0.4">
      <c r="A24" s="99">
        <v>2</v>
      </c>
      <c r="B24" s="99" t="s">
        <v>323</v>
      </c>
      <c r="C24" s="87"/>
      <c r="D24" s="87"/>
      <c r="E24" s="87"/>
      <c r="F24" s="87"/>
      <c r="G24" s="87">
        <v>70</v>
      </c>
      <c r="H24" s="87"/>
    </row>
    <row r="25" spans="1:8" ht="26.25" x14ac:dyDescent="0.4">
      <c r="A25" s="99">
        <v>3</v>
      </c>
      <c r="B25" s="99" t="s">
        <v>324</v>
      </c>
      <c r="C25" s="87"/>
      <c r="D25" s="87"/>
      <c r="E25" s="87"/>
      <c r="F25" s="87"/>
      <c r="G25" s="87">
        <v>514</v>
      </c>
      <c r="H25" s="87"/>
    </row>
    <row r="26" spans="1:8" ht="26.25" x14ac:dyDescent="0.4">
      <c r="A26" s="99">
        <v>4</v>
      </c>
      <c r="B26" s="98" t="s">
        <v>325</v>
      </c>
      <c r="C26" s="87">
        <v>0</v>
      </c>
      <c r="D26" s="87">
        <f>'Office Minor'!C239</f>
        <v>179</v>
      </c>
      <c r="E26" s="87">
        <v>0</v>
      </c>
      <c r="F26" s="87">
        <v>0</v>
      </c>
      <c r="G26" s="87">
        <v>65</v>
      </c>
      <c r="H26" s="87">
        <v>0</v>
      </c>
    </row>
    <row r="27" spans="1:8" ht="26.25" x14ac:dyDescent="0.4">
      <c r="A27" s="99">
        <v>5</v>
      </c>
      <c r="B27" s="98" t="s">
        <v>326</v>
      </c>
      <c r="C27" s="87"/>
      <c r="D27" s="87"/>
      <c r="E27" s="87"/>
      <c r="F27" s="87"/>
      <c r="G27" s="87">
        <v>480</v>
      </c>
      <c r="H27" s="87"/>
    </row>
    <row r="28" spans="1:8" ht="26.25" x14ac:dyDescent="0.4">
      <c r="A28" s="1315" t="s">
        <v>50</v>
      </c>
      <c r="B28" s="1316"/>
      <c r="C28" s="88">
        <f>SUM(C23:C27)</f>
        <v>0</v>
      </c>
      <c r="D28" s="88">
        <f t="shared" ref="D28:H28" si="2">SUM(D23:D27)</f>
        <v>179</v>
      </c>
      <c r="E28" s="88">
        <f t="shared" si="2"/>
        <v>0</v>
      </c>
      <c r="F28" s="88">
        <f t="shared" si="2"/>
        <v>0</v>
      </c>
      <c r="G28" s="88">
        <f t="shared" si="2"/>
        <v>1409</v>
      </c>
      <c r="H28" s="88">
        <f t="shared" si="2"/>
        <v>0</v>
      </c>
    </row>
    <row r="29" spans="1:8" ht="27.75" x14ac:dyDescent="0.4">
      <c r="A29" s="100">
        <v>4</v>
      </c>
      <c r="B29" s="106" t="s">
        <v>327</v>
      </c>
      <c r="C29" s="87"/>
      <c r="D29" s="87"/>
      <c r="E29" s="87"/>
      <c r="F29" s="87"/>
      <c r="G29" s="87"/>
      <c r="H29" s="87"/>
    </row>
    <row r="30" spans="1:8" ht="26.25" x14ac:dyDescent="0.4">
      <c r="A30" s="99">
        <v>1</v>
      </c>
      <c r="B30" s="99" t="s">
        <v>328</v>
      </c>
      <c r="C30" s="87"/>
      <c r="D30" s="668"/>
      <c r="E30" s="668"/>
      <c r="F30" s="668"/>
      <c r="G30" s="668">
        <v>0</v>
      </c>
      <c r="H30" s="87"/>
    </row>
    <row r="31" spans="1:8" ht="26.25" x14ac:dyDescent="0.4">
      <c r="A31" s="99">
        <v>2</v>
      </c>
      <c r="B31" s="99" t="s">
        <v>329</v>
      </c>
      <c r="C31" s="87"/>
      <c r="D31" s="87"/>
      <c r="E31" s="87"/>
      <c r="F31" s="87"/>
      <c r="G31" s="87">
        <v>0</v>
      </c>
      <c r="H31" s="87"/>
    </row>
    <row r="32" spans="1:8" ht="26.25" x14ac:dyDescent="0.4">
      <c r="A32" s="99">
        <v>3</v>
      </c>
      <c r="B32" s="99" t="s">
        <v>471</v>
      </c>
      <c r="C32" s="87"/>
      <c r="D32" s="87"/>
      <c r="E32" s="87"/>
      <c r="F32" s="87"/>
      <c r="G32" s="87">
        <v>0</v>
      </c>
      <c r="H32" s="87"/>
    </row>
    <row r="33" spans="1:8" ht="26.25" x14ac:dyDescent="0.4">
      <c r="A33" s="99">
        <v>4</v>
      </c>
      <c r="B33" s="103" t="s">
        <v>331</v>
      </c>
      <c r="C33" s="87"/>
      <c r="D33" s="87"/>
      <c r="E33" s="87"/>
      <c r="F33" s="87"/>
      <c r="G33" s="87">
        <v>87</v>
      </c>
      <c r="H33" s="87"/>
    </row>
    <row r="34" spans="1:8" ht="26.25" x14ac:dyDescent="0.4">
      <c r="A34" s="99">
        <v>5</v>
      </c>
      <c r="B34" s="99" t="s">
        <v>332</v>
      </c>
      <c r="C34" s="87"/>
      <c r="D34" s="668"/>
      <c r="E34" s="668"/>
      <c r="F34" s="668"/>
      <c r="G34" s="668">
        <v>133</v>
      </c>
      <c r="H34" s="87"/>
    </row>
    <row r="35" spans="1:8" ht="26.25" x14ac:dyDescent="0.4">
      <c r="A35" s="99">
        <v>6</v>
      </c>
      <c r="B35" s="99" t="s">
        <v>333</v>
      </c>
      <c r="C35" s="87"/>
      <c r="D35" s="87"/>
      <c r="E35" s="87"/>
      <c r="F35" s="87"/>
      <c r="G35" s="87">
        <v>0</v>
      </c>
      <c r="H35" s="87"/>
    </row>
    <row r="36" spans="1:8" ht="26.25" x14ac:dyDescent="0.4">
      <c r="A36" s="99">
        <v>7</v>
      </c>
      <c r="B36" s="99" t="s">
        <v>334</v>
      </c>
      <c r="C36" s="87"/>
      <c r="D36" s="87"/>
      <c r="E36" s="87"/>
      <c r="F36" s="87"/>
      <c r="G36" s="87">
        <v>67</v>
      </c>
      <c r="H36" s="87"/>
    </row>
    <row r="37" spans="1:8" ht="26.25" x14ac:dyDescent="0.4">
      <c r="A37" s="99">
        <v>8</v>
      </c>
      <c r="B37" s="99" t="s">
        <v>335</v>
      </c>
      <c r="C37" s="87"/>
      <c r="D37" s="87"/>
      <c r="E37" s="87"/>
      <c r="F37" s="87"/>
      <c r="G37" s="87">
        <v>0</v>
      </c>
      <c r="H37" s="87"/>
    </row>
    <row r="38" spans="1:8" ht="26.25" x14ac:dyDescent="0.4">
      <c r="A38" s="1315" t="s">
        <v>50</v>
      </c>
      <c r="B38" s="1316"/>
      <c r="C38" s="88">
        <f>SUM(C30:C37)</f>
        <v>0</v>
      </c>
      <c r="D38" s="88">
        <f t="shared" ref="D38:H38" si="3">SUM(D30:D37)</f>
        <v>0</v>
      </c>
      <c r="E38" s="88">
        <f t="shared" si="3"/>
        <v>0</v>
      </c>
      <c r="F38" s="88">
        <f t="shared" si="3"/>
        <v>0</v>
      </c>
      <c r="G38" s="88">
        <f t="shared" si="3"/>
        <v>287</v>
      </c>
      <c r="H38" s="88">
        <f t="shared" si="3"/>
        <v>0</v>
      </c>
    </row>
    <row r="39" spans="1:8" ht="27.75" x14ac:dyDescent="0.4">
      <c r="A39" s="100">
        <v>5</v>
      </c>
      <c r="B39" s="106" t="s">
        <v>336</v>
      </c>
      <c r="C39" s="1326"/>
      <c r="D39" s="1327"/>
      <c r="E39" s="1327"/>
      <c r="F39" s="1327"/>
      <c r="G39" s="1327"/>
      <c r="H39" s="1328"/>
    </row>
    <row r="40" spans="1:8" ht="26.25" x14ac:dyDescent="0.4">
      <c r="A40" s="99">
        <v>1</v>
      </c>
      <c r="B40" s="99" t="s">
        <v>337</v>
      </c>
      <c r="C40" s="668"/>
      <c r="D40" s="87"/>
      <c r="E40" s="87"/>
      <c r="F40" s="87"/>
      <c r="G40" s="87">
        <v>0</v>
      </c>
      <c r="H40" s="87"/>
    </row>
    <row r="41" spans="1:8" ht="26.25" x14ac:dyDescent="0.4">
      <c r="A41" s="99">
        <v>2</v>
      </c>
      <c r="B41" s="99" t="s">
        <v>338</v>
      </c>
      <c r="C41" s="87"/>
      <c r="D41" s="87"/>
      <c r="E41" s="87"/>
      <c r="F41" s="87"/>
      <c r="G41" s="87">
        <v>0</v>
      </c>
      <c r="H41" s="87"/>
    </row>
    <row r="42" spans="1:8" ht="26.25" x14ac:dyDescent="0.4">
      <c r="A42" s="99">
        <v>3</v>
      </c>
      <c r="B42" s="99" t="s">
        <v>339</v>
      </c>
      <c r="C42" s="87"/>
      <c r="D42" s="668"/>
      <c r="E42" s="668"/>
      <c r="F42" s="668"/>
      <c r="G42" s="668">
        <v>0</v>
      </c>
      <c r="H42" s="87"/>
    </row>
    <row r="43" spans="1:8" ht="26.25" x14ac:dyDescent="0.4">
      <c r="A43" s="99">
        <v>4</v>
      </c>
      <c r="B43" s="99" t="s">
        <v>340</v>
      </c>
      <c r="C43" s="87"/>
      <c r="D43" s="87"/>
      <c r="E43" s="87"/>
      <c r="F43" s="87"/>
      <c r="G43" s="87">
        <v>0</v>
      </c>
      <c r="H43" s="87"/>
    </row>
    <row r="44" spans="1:8" ht="26.25" x14ac:dyDescent="0.4">
      <c r="A44" s="99">
        <v>5</v>
      </c>
      <c r="B44" s="99" t="s">
        <v>341</v>
      </c>
      <c r="C44" s="87"/>
      <c r="D44" s="668"/>
      <c r="E44" s="668"/>
      <c r="F44" s="668"/>
      <c r="G44" s="668">
        <v>0</v>
      </c>
      <c r="H44" s="87"/>
    </row>
    <row r="45" spans="1:8" ht="26.25" x14ac:dyDescent="0.4">
      <c r="A45" s="99">
        <v>6</v>
      </c>
      <c r="B45" s="99" t="s">
        <v>342</v>
      </c>
      <c r="C45" s="87"/>
      <c r="D45" s="87"/>
      <c r="E45" s="87"/>
      <c r="F45" s="87"/>
      <c r="G45" s="87">
        <v>0</v>
      </c>
      <c r="H45" s="87"/>
    </row>
    <row r="46" spans="1:8" ht="26.25" x14ac:dyDescent="0.4">
      <c r="A46" s="1315" t="s">
        <v>50</v>
      </c>
      <c r="B46" s="1316"/>
      <c r="C46" s="88">
        <f>SUM(C40:C45)</f>
        <v>0</v>
      </c>
      <c r="D46" s="88">
        <f t="shared" ref="D46:H46" si="4">SUM(D40:D45)</f>
        <v>0</v>
      </c>
      <c r="E46" s="88">
        <f t="shared" si="4"/>
        <v>0</v>
      </c>
      <c r="F46" s="88">
        <f t="shared" si="4"/>
        <v>0</v>
      </c>
      <c r="G46" s="88">
        <f t="shared" si="4"/>
        <v>0</v>
      </c>
      <c r="H46" s="88">
        <f t="shared" si="4"/>
        <v>0</v>
      </c>
    </row>
    <row r="47" spans="1:8" ht="27.75" x14ac:dyDescent="0.4">
      <c r="A47" s="100">
        <v>6</v>
      </c>
      <c r="B47" s="106" t="s">
        <v>343</v>
      </c>
      <c r="C47" s="1326"/>
      <c r="D47" s="1327"/>
      <c r="E47" s="1327"/>
      <c r="F47" s="1327"/>
      <c r="G47" s="1327"/>
      <c r="H47" s="1328"/>
    </row>
    <row r="48" spans="1:8" ht="26.25" x14ac:dyDescent="0.4">
      <c r="A48" s="99">
        <v>1</v>
      </c>
      <c r="B48" s="99" t="s">
        <v>344</v>
      </c>
      <c r="C48" s="87"/>
      <c r="D48" s="87"/>
      <c r="E48" s="87"/>
      <c r="F48" s="87"/>
      <c r="G48" s="87">
        <v>82</v>
      </c>
      <c r="H48" s="87"/>
    </row>
    <row r="49" spans="1:8" ht="26.25" x14ac:dyDescent="0.4">
      <c r="A49" s="99">
        <v>2</v>
      </c>
      <c r="B49" s="99" t="s">
        <v>345</v>
      </c>
      <c r="C49" s="87"/>
      <c r="D49" s="87"/>
      <c r="E49" s="87"/>
      <c r="F49" s="87"/>
      <c r="G49" s="87">
        <v>0</v>
      </c>
      <c r="H49" s="87"/>
    </row>
    <row r="50" spans="1:8" ht="26.25" x14ac:dyDescent="0.4">
      <c r="A50" s="99">
        <v>3</v>
      </c>
      <c r="B50" s="99" t="s">
        <v>346</v>
      </c>
      <c r="C50" s="87"/>
      <c r="D50" s="87"/>
      <c r="E50" s="87"/>
      <c r="F50" s="87"/>
      <c r="G50" s="87">
        <v>101</v>
      </c>
      <c r="H50" s="87"/>
    </row>
    <row r="51" spans="1:8" ht="26.25" x14ac:dyDescent="0.4">
      <c r="A51" s="99">
        <v>4</v>
      </c>
      <c r="B51" s="99" t="s">
        <v>347</v>
      </c>
      <c r="C51" s="87"/>
      <c r="D51" s="87"/>
      <c r="E51" s="87"/>
      <c r="F51" s="87"/>
      <c r="G51" s="87">
        <v>493</v>
      </c>
      <c r="H51" s="87"/>
    </row>
    <row r="52" spans="1:8" ht="26.25" x14ac:dyDescent="0.4">
      <c r="A52" s="99">
        <v>5</v>
      </c>
      <c r="B52" s="99" t="s">
        <v>348</v>
      </c>
      <c r="C52" s="87"/>
      <c r="D52" s="668"/>
      <c r="E52" s="668"/>
      <c r="F52" s="668"/>
      <c r="G52" s="668">
        <v>45</v>
      </c>
      <c r="H52" s="87"/>
    </row>
    <row r="53" spans="1:8" ht="26.25" x14ac:dyDescent="0.4">
      <c r="A53" s="99">
        <v>6</v>
      </c>
      <c r="B53" s="99" t="s">
        <v>349</v>
      </c>
      <c r="C53" s="83"/>
      <c r="D53" s="83"/>
      <c r="E53" s="83"/>
      <c r="F53" s="83"/>
      <c r="G53" s="83">
        <v>0</v>
      </c>
      <c r="H53" s="87"/>
    </row>
    <row r="54" spans="1:8" ht="26.25" x14ac:dyDescent="0.4">
      <c r="A54" s="1315" t="s">
        <v>50</v>
      </c>
      <c r="B54" s="1316"/>
      <c r="C54" s="88">
        <f>SUM(C48:C53)</f>
        <v>0</v>
      </c>
      <c r="D54" s="88">
        <f t="shared" ref="D54:H54" si="5">SUM(D48:D53)</f>
        <v>0</v>
      </c>
      <c r="E54" s="88">
        <f t="shared" si="5"/>
        <v>0</v>
      </c>
      <c r="F54" s="88">
        <f t="shared" si="5"/>
        <v>0</v>
      </c>
      <c r="G54" s="88">
        <f t="shared" si="5"/>
        <v>721</v>
      </c>
      <c r="H54" s="88">
        <f t="shared" si="5"/>
        <v>0</v>
      </c>
    </row>
    <row r="55" spans="1:8" ht="27.75" x14ac:dyDescent="0.4">
      <c r="A55" s="100">
        <v>7</v>
      </c>
      <c r="B55" s="106" t="s">
        <v>350</v>
      </c>
      <c r="C55" s="1326"/>
      <c r="D55" s="1327"/>
      <c r="E55" s="1327"/>
      <c r="F55" s="1327"/>
      <c r="G55" s="1327"/>
      <c r="H55" s="1328"/>
    </row>
    <row r="56" spans="1:8" ht="26.25" x14ac:dyDescent="0.4">
      <c r="A56" s="99">
        <v>1</v>
      </c>
      <c r="B56" s="99" t="s">
        <v>351</v>
      </c>
      <c r="C56" s="87"/>
      <c r="D56" s="87"/>
      <c r="E56" s="87"/>
      <c r="F56" s="87"/>
      <c r="G56" s="87">
        <v>11</v>
      </c>
      <c r="H56" s="87"/>
    </row>
    <row r="57" spans="1:8" ht="26.25" x14ac:dyDescent="0.4">
      <c r="A57" s="99">
        <v>2</v>
      </c>
      <c r="B57" s="99" t="s">
        <v>352</v>
      </c>
      <c r="C57" s="87"/>
      <c r="D57" s="87"/>
      <c r="E57" s="87"/>
      <c r="F57" s="87"/>
      <c r="G57" s="87">
        <v>0</v>
      </c>
      <c r="H57" s="87"/>
    </row>
    <row r="58" spans="1:8" ht="26.25" x14ac:dyDescent="0.4">
      <c r="A58" s="99">
        <v>3</v>
      </c>
      <c r="B58" s="99" t="s">
        <v>353</v>
      </c>
      <c r="C58" s="668"/>
      <c r="D58" s="87"/>
      <c r="E58" s="87"/>
      <c r="F58" s="87"/>
      <c r="G58" s="87">
        <v>7</v>
      </c>
      <c r="H58" s="87"/>
    </row>
    <row r="59" spans="1:8" ht="26.25" x14ac:dyDescent="0.4">
      <c r="A59" s="99">
        <v>4</v>
      </c>
      <c r="B59" s="99" t="s">
        <v>354</v>
      </c>
      <c r="C59" s="668"/>
      <c r="D59" s="87"/>
      <c r="E59" s="87"/>
      <c r="F59" s="87"/>
      <c r="G59" s="87">
        <v>72</v>
      </c>
      <c r="H59" s="87"/>
    </row>
    <row r="60" spans="1:8" ht="26.25" x14ac:dyDescent="0.4">
      <c r="A60" s="1315" t="s">
        <v>50</v>
      </c>
      <c r="B60" s="1316"/>
      <c r="C60" s="85">
        <f>SUM(C56:C59)</f>
        <v>0</v>
      </c>
      <c r="D60" s="85">
        <f t="shared" ref="D60:H60" si="6">SUM(D56:D59)</f>
        <v>0</v>
      </c>
      <c r="E60" s="85">
        <f t="shared" si="6"/>
        <v>0</v>
      </c>
      <c r="F60" s="85">
        <f t="shared" si="6"/>
        <v>0</v>
      </c>
      <c r="G60" s="85">
        <f t="shared" si="6"/>
        <v>90</v>
      </c>
      <c r="H60" s="85">
        <f t="shared" si="6"/>
        <v>0</v>
      </c>
    </row>
    <row r="61" spans="1:8" ht="27.75" x14ac:dyDescent="0.4">
      <c r="A61" s="100">
        <v>8</v>
      </c>
      <c r="B61" s="106" t="s">
        <v>355</v>
      </c>
      <c r="C61" s="1332"/>
      <c r="D61" s="1333"/>
      <c r="E61" s="1333"/>
      <c r="F61" s="1333"/>
      <c r="G61" s="1333"/>
      <c r="H61" s="1334"/>
    </row>
    <row r="62" spans="1:8" ht="26.25" x14ac:dyDescent="0.4">
      <c r="A62" s="99">
        <v>1</v>
      </c>
      <c r="B62" s="99" t="s">
        <v>356</v>
      </c>
      <c r="C62" s="83"/>
      <c r="D62" s="83"/>
      <c r="E62" s="83"/>
      <c r="F62" s="83"/>
      <c r="G62" s="83">
        <v>0</v>
      </c>
      <c r="H62" s="87"/>
    </row>
    <row r="63" spans="1:8" ht="26.25" x14ac:dyDescent="0.4">
      <c r="A63" s="99">
        <v>2</v>
      </c>
      <c r="B63" s="99" t="s">
        <v>357</v>
      </c>
      <c r="C63" s="83"/>
      <c r="D63" s="83"/>
      <c r="E63" s="83"/>
      <c r="F63" s="83"/>
      <c r="G63" s="83">
        <v>0</v>
      </c>
      <c r="H63" s="87"/>
    </row>
    <row r="64" spans="1:8" ht="26.25" x14ac:dyDescent="0.4">
      <c r="A64" s="99">
        <v>3</v>
      </c>
      <c r="B64" s="99" t="s">
        <v>358</v>
      </c>
      <c r="C64" s="83"/>
      <c r="D64" s="83"/>
      <c r="E64" s="83"/>
      <c r="F64" s="83"/>
      <c r="G64" s="83">
        <v>0</v>
      </c>
      <c r="H64" s="87"/>
    </row>
    <row r="65" spans="1:8" ht="26.25" x14ac:dyDescent="0.4">
      <c r="A65" s="1315" t="s">
        <v>50</v>
      </c>
      <c r="B65" s="1316"/>
      <c r="C65" s="88">
        <f>SUM(C62:C64)</f>
        <v>0</v>
      </c>
      <c r="D65" s="88">
        <f t="shared" ref="D65:H65" si="7">SUM(D62:D64)</f>
        <v>0</v>
      </c>
      <c r="E65" s="88">
        <f t="shared" si="7"/>
        <v>0</v>
      </c>
      <c r="F65" s="88">
        <f t="shared" si="7"/>
        <v>0</v>
      </c>
      <c r="G65" s="88">
        <f t="shared" si="7"/>
        <v>0</v>
      </c>
      <c r="H65" s="88">
        <f t="shared" si="7"/>
        <v>0</v>
      </c>
    </row>
    <row r="66" spans="1:8" ht="26.25" x14ac:dyDescent="0.4">
      <c r="A66" s="100">
        <v>9</v>
      </c>
      <c r="B66" s="100" t="s">
        <v>359</v>
      </c>
      <c r="C66" s="1326"/>
      <c r="D66" s="1327"/>
      <c r="E66" s="1327"/>
      <c r="F66" s="1327"/>
      <c r="G66" s="1327"/>
      <c r="H66" s="1328"/>
    </row>
    <row r="67" spans="1:8" ht="26.25" x14ac:dyDescent="0.4">
      <c r="A67" s="99">
        <v>1</v>
      </c>
      <c r="B67" s="99" t="s">
        <v>360</v>
      </c>
      <c r="C67" s="87"/>
      <c r="D67" s="87"/>
      <c r="E67" s="87"/>
      <c r="F67" s="87"/>
      <c r="G67" s="87">
        <v>0</v>
      </c>
      <c r="H67" s="87"/>
    </row>
    <row r="68" spans="1:8" ht="26.25" x14ac:dyDescent="0.4">
      <c r="A68" s="99">
        <v>2</v>
      </c>
      <c r="B68" s="99" t="s">
        <v>361</v>
      </c>
      <c r="C68" s="87"/>
      <c r="D68" s="87"/>
      <c r="E68" s="87"/>
      <c r="F68" s="87"/>
      <c r="G68" s="87">
        <v>0</v>
      </c>
      <c r="H68" s="87"/>
    </row>
    <row r="69" spans="1:8" ht="26.25" x14ac:dyDescent="0.4">
      <c r="A69" s="99">
        <v>3</v>
      </c>
      <c r="B69" s="99" t="s">
        <v>362</v>
      </c>
      <c r="C69" s="87"/>
      <c r="D69" s="87"/>
      <c r="E69" s="87"/>
      <c r="F69" s="87"/>
      <c r="G69" s="87">
        <v>0</v>
      </c>
      <c r="H69" s="87"/>
    </row>
    <row r="70" spans="1:8" ht="26.25" x14ac:dyDescent="0.4">
      <c r="A70" s="99">
        <v>4</v>
      </c>
      <c r="B70" s="99" t="s">
        <v>363</v>
      </c>
      <c r="C70" s="87"/>
      <c r="D70" s="87"/>
      <c r="E70" s="87"/>
      <c r="F70" s="87"/>
      <c r="G70" s="87">
        <v>0</v>
      </c>
      <c r="H70" s="87"/>
    </row>
    <row r="71" spans="1:8" ht="26.25" x14ac:dyDescent="0.4">
      <c r="A71" s="99">
        <v>5</v>
      </c>
      <c r="B71" s="99" t="s">
        <v>364</v>
      </c>
      <c r="C71" s="668">
        <f>'Office Major'!C34</f>
        <v>2</v>
      </c>
      <c r="D71" s="87">
        <f>'Office Minor'!C85</f>
        <v>157</v>
      </c>
      <c r="E71" s="87">
        <v>0</v>
      </c>
      <c r="F71" s="87">
        <v>0</v>
      </c>
      <c r="G71" s="87">
        <v>14</v>
      </c>
      <c r="H71" s="87">
        <v>0</v>
      </c>
    </row>
    <row r="72" spans="1:8" ht="26.25" x14ac:dyDescent="0.4">
      <c r="A72" s="99">
        <v>6</v>
      </c>
      <c r="B72" s="99" t="s">
        <v>365</v>
      </c>
      <c r="C72" s="87"/>
      <c r="D72" s="87"/>
      <c r="E72" s="87"/>
      <c r="F72" s="87"/>
      <c r="G72" s="87">
        <v>471</v>
      </c>
      <c r="H72" s="87"/>
    </row>
    <row r="73" spans="1:8" ht="27.75" x14ac:dyDescent="0.4">
      <c r="A73" s="1335" t="s">
        <v>50</v>
      </c>
      <c r="B73" s="1336"/>
      <c r="C73" s="88">
        <f>SUM(C67:C72)</f>
        <v>2</v>
      </c>
      <c r="D73" s="88">
        <f t="shared" ref="D73:H73" si="8">SUM(D67:D72)</f>
        <v>157</v>
      </c>
      <c r="E73" s="88">
        <f t="shared" si="8"/>
        <v>0</v>
      </c>
      <c r="F73" s="88">
        <f t="shared" si="8"/>
        <v>0</v>
      </c>
      <c r="G73" s="88">
        <f>SUM(G67:G72)</f>
        <v>485</v>
      </c>
      <c r="H73" s="88">
        <f t="shared" si="8"/>
        <v>0</v>
      </c>
    </row>
    <row r="74" spans="1:8" ht="27.75" x14ac:dyDescent="0.4">
      <c r="A74" s="1103"/>
      <c r="B74" s="1104"/>
      <c r="C74" s="1105"/>
      <c r="D74" s="1105"/>
      <c r="E74" s="1105"/>
      <c r="F74" s="1105"/>
      <c r="G74" s="1105">
        <f>SUM(G14,G21,G28,G38,G46,G54,G60,G65,G73)</f>
        <v>3286</v>
      </c>
      <c r="H74" s="1106"/>
    </row>
    <row r="75" spans="1:8" ht="30.75" x14ac:dyDescent="0.45">
      <c r="A75" s="1372"/>
      <c r="B75" s="1373"/>
      <c r="C75" s="1373"/>
      <c r="D75" s="1373"/>
      <c r="E75" s="1373"/>
      <c r="F75" s="1373"/>
      <c r="G75" s="1373"/>
      <c r="H75" s="1374"/>
    </row>
  </sheetData>
  <mergeCells count="29">
    <mergeCell ref="A1:H1"/>
    <mergeCell ref="A2:H2"/>
    <mergeCell ref="A3:H3"/>
    <mergeCell ref="A5:A6"/>
    <mergeCell ref="B5:B6"/>
    <mergeCell ref="C5:C6"/>
    <mergeCell ref="D5:D6"/>
    <mergeCell ref="H5:H6"/>
    <mergeCell ref="E5:E6"/>
    <mergeCell ref="G5:G6"/>
    <mergeCell ref="F5:F6"/>
    <mergeCell ref="A65:B65"/>
    <mergeCell ref="C66:H66"/>
    <mergeCell ref="A73:B73"/>
    <mergeCell ref="A75:H75"/>
    <mergeCell ref="A38:B38"/>
    <mergeCell ref="C39:H39"/>
    <mergeCell ref="A46:B46"/>
    <mergeCell ref="C47:H47"/>
    <mergeCell ref="A54:B54"/>
    <mergeCell ref="C55:H55"/>
    <mergeCell ref="A60:B60"/>
    <mergeCell ref="C61:H61"/>
    <mergeCell ref="A28:B28"/>
    <mergeCell ref="C7:H7"/>
    <mergeCell ref="A14:B14"/>
    <mergeCell ref="C15:H15"/>
    <mergeCell ref="A21:B21"/>
    <mergeCell ref="C22:H22"/>
  </mergeCells>
  <pageMargins left="0.7" right="0.7" top="0.75" bottom="0.75" header="0.3" footer="0.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T10" sqref="T10"/>
    </sheetView>
  </sheetViews>
  <sheetFormatPr defaultRowHeight="15" x14ac:dyDescent="0.25"/>
  <cols>
    <col min="1" max="1" width="5.42578125" bestFit="1" customWidth="1"/>
    <col min="2" max="2" width="24.85546875" customWidth="1"/>
    <col min="5" max="5" width="10.5703125" customWidth="1"/>
    <col min="9" max="9" width="16.28515625" customWidth="1"/>
    <col min="11" max="11" width="10" customWidth="1"/>
    <col min="12" max="12" width="14.28515625" customWidth="1"/>
  </cols>
  <sheetData>
    <row r="1" spans="1:20" ht="30.75" customHeight="1" x14ac:dyDescent="0.25">
      <c r="A1" s="1388" t="s">
        <v>607</v>
      </c>
      <c r="B1" s="1388"/>
      <c r="C1" s="1388"/>
      <c r="D1" s="1388"/>
      <c r="E1" s="1388"/>
      <c r="F1" s="1388"/>
      <c r="G1" s="1388"/>
      <c r="H1" s="1388"/>
      <c r="I1" s="1388"/>
      <c r="J1" s="1388"/>
      <c r="K1" s="1388"/>
      <c r="L1" s="1388"/>
      <c r="M1" s="1388"/>
      <c r="N1" s="1388"/>
      <c r="O1" s="1388"/>
      <c r="P1" s="1388"/>
      <c r="Q1" s="1388"/>
      <c r="R1" s="1388"/>
      <c r="S1" s="1388"/>
      <c r="T1" s="1388"/>
    </row>
    <row r="2" spans="1:20" ht="30.75" customHeight="1" x14ac:dyDescent="0.25">
      <c r="A2" s="741"/>
      <c r="B2" s="741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742"/>
      <c r="R2" s="742"/>
      <c r="S2" s="742"/>
      <c r="T2" s="742"/>
    </row>
    <row r="3" spans="1:20" ht="20.25" customHeight="1" x14ac:dyDescent="0.25">
      <c r="A3" s="1385" t="s">
        <v>292</v>
      </c>
      <c r="B3" s="1382" t="s">
        <v>520</v>
      </c>
      <c r="C3" s="1389" t="s">
        <v>606</v>
      </c>
      <c r="D3" s="1389"/>
      <c r="E3" s="1389"/>
      <c r="F3" s="1389" t="str">
        <f>C3</f>
        <v>Ok"kZ 2019&amp;20</v>
      </c>
      <c r="G3" s="1389"/>
      <c r="H3" s="1389"/>
      <c r="I3" s="1389" t="str">
        <f>F3</f>
        <v>Ok"kZ 2019&amp;20</v>
      </c>
      <c r="J3" s="1389"/>
      <c r="K3" s="1389"/>
      <c r="L3" s="1389" t="str">
        <f>I3</f>
        <v>Ok"kZ 2019&amp;20</v>
      </c>
      <c r="M3" s="1389"/>
      <c r="N3" s="1389"/>
      <c r="O3" s="1389" t="str">
        <f>L3</f>
        <v>Ok"kZ 2019&amp;20</v>
      </c>
      <c r="P3" s="1389"/>
      <c r="Q3" s="1389"/>
      <c r="R3" s="1389" t="str">
        <f>O3</f>
        <v>Ok"kZ 2019&amp;20</v>
      </c>
      <c r="S3" s="1389"/>
      <c r="T3" s="1389"/>
    </row>
    <row r="4" spans="1:20" ht="18.75" customHeight="1" x14ac:dyDescent="0.25">
      <c r="A4" s="1386"/>
      <c r="B4" s="1383"/>
      <c r="C4" s="739" t="s">
        <v>521</v>
      </c>
      <c r="D4" s="739" t="s">
        <v>522</v>
      </c>
      <c r="E4" s="740" t="s">
        <v>523</v>
      </c>
      <c r="F4" s="739" t="s">
        <v>521</v>
      </c>
      <c r="G4" s="739" t="s">
        <v>522</v>
      </c>
      <c r="H4" s="740" t="s">
        <v>523</v>
      </c>
      <c r="I4" s="739" t="s">
        <v>521</v>
      </c>
      <c r="J4" s="739" t="s">
        <v>522</v>
      </c>
      <c r="K4" s="740" t="s">
        <v>523</v>
      </c>
      <c r="L4" s="739" t="s">
        <v>521</v>
      </c>
      <c r="M4" s="739" t="s">
        <v>522</v>
      </c>
      <c r="N4" s="740" t="s">
        <v>523</v>
      </c>
      <c r="O4" s="739" t="s">
        <v>521</v>
      </c>
      <c r="P4" s="739" t="s">
        <v>522</v>
      </c>
      <c r="Q4" s="740" t="s">
        <v>523</v>
      </c>
      <c r="R4" s="739" t="s">
        <v>521</v>
      </c>
      <c r="S4" s="739" t="s">
        <v>522</v>
      </c>
      <c r="T4" s="740" t="s">
        <v>523</v>
      </c>
    </row>
    <row r="5" spans="1:20" ht="26.25" customHeight="1" x14ac:dyDescent="0.25">
      <c r="A5" s="1387"/>
      <c r="B5" s="1384"/>
      <c r="C5" s="1379" t="s">
        <v>539</v>
      </c>
      <c r="D5" s="1380"/>
      <c r="E5" s="1381"/>
      <c r="F5" s="1390" t="s">
        <v>540</v>
      </c>
      <c r="G5" s="1391"/>
      <c r="H5" s="1392"/>
      <c r="I5" s="1379" t="s">
        <v>544</v>
      </c>
      <c r="J5" s="1380"/>
      <c r="K5" s="1381"/>
      <c r="L5" s="1390" t="s">
        <v>541</v>
      </c>
      <c r="M5" s="1391"/>
      <c r="N5" s="1392"/>
      <c r="O5" s="1379" t="s">
        <v>542</v>
      </c>
      <c r="P5" s="1380"/>
      <c r="Q5" s="1381"/>
      <c r="R5" s="1390" t="s">
        <v>543</v>
      </c>
      <c r="S5" s="1391"/>
      <c r="T5" s="1392"/>
    </row>
    <row r="6" spans="1:20" ht="23.25" x14ac:dyDescent="0.35">
      <c r="A6" s="711">
        <v>1</v>
      </c>
      <c r="B6" s="93" t="s">
        <v>330</v>
      </c>
      <c r="C6" s="712"/>
      <c r="D6" s="712"/>
      <c r="E6" s="712"/>
      <c r="F6" s="730"/>
      <c r="G6" s="730"/>
      <c r="H6" s="730"/>
      <c r="I6" s="712"/>
      <c r="J6" s="712"/>
      <c r="K6" s="712"/>
      <c r="L6" s="730"/>
      <c r="M6" s="730"/>
      <c r="N6" s="730"/>
      <c r="O6" s="712"/>
      <c r="P6" s="712"/>
      <c r="Q6" s="712"/>
      <c r="R6" s="730"/>
      <c r="S6" s="730"/>
      <c r="T6" s="730"/>
    </row>
    <row r="7" spans="1:20" ht="23.25" x14ac:dyDescent="0.35">
      <c r="A7" s="711">
        <v>2</v>
      </c>
      <c r="B7" s="93" t="s">
        <v>328</v>
      </c>
      <c r="C7" s="713"/>
      <c r="D7" s="713"/>
      <c r="E7" s="712"/>
      <c r="F7" s="731"/>
      <c r="G7" s="731"/>
      <c r="H7" s="730"/>
      <c r="I7" s="713"/>
      <c r="J7" s="713"/>
      <c r="K7" s="712"/>
      <c r="L7" s="731"/>
      <c r="M7" s="731"/>
      <c r="N7" s="730"/>
      <c r="O7" s="713"/>
      <c r="P7" s="713"/>
      <c r="Q7" s="712"/>
      <c r="R7" s="731"/>
      <c r="S7" s="731"/>
      <c r="T7" s="730"/>
    </row>
    <row r="8" spans="1:20" ht="23.25" x14ac:dyDescent="0.35">
      <c r="A8" s="711">
        <v>3</v>
      </c>
      <c r="B8" s="93" t="s">
        <v>524</v>
      </c>
      <c r="C8" s="713"/>
      <c r="D8" s="713"/>
      <c r="E8" s="712"/>
      <c r="F8" s="731"/>
      <c r="G8" s="731"/>
      <c r="H8" s="730"/>
      <c r="I8" s="713"/>
      <c r="J8" s="713"/>
      <c r="K8" s="712"/>
      <c r="L8" s="731"/>
      <c r="M8" s="731"/>
      <c r="N8" s="730"/>
      <c r="O8" s="713"/>
      <c r="P8" s="713"/>
      <c r="Q8" s="712"/>
      <c r="R8" s="731"/>
      <c r="S8" s="731"/>
      <c r="T8" s="730"/>
    </row>
    <row r="9" spans="1:20" ht="23.25" x14ac:dyDescent="0.35">
      <c r="A9" s="711">
        <v>4</v>
      </c>
      <c r="B9" s="93" t="s">
        <v>329</v>
      </c>
      <c r="C9" s="713"/>
      <c r="D9" s="713"/>
      <c r="E9" s="712"/>
      <c r="F9" s="731"/>
      <c r="G9" s="731"/>
      <c r="H9" s="730"/>
      <c r="I9" s="713"/>
      <c r="J9" s="713"/>
      <c r="K9" s="712"/>
      <c r="L9" s="731"/>
      <c r="M9" s="731"/>
      <c r="N9" s="730"/>
      <c r="O9" s="713"/>
      <c r="P9" s="713"/>
      <c r="Q9" s="712"/>
      <c r="R9" s="731"/>
      <c r="S9" s="731"/>
      <c r="T9" s="730"/>
    </row>
    <row r="10" spans="1:20" ht="23.25" x14ac:dyDescent="0.35">
      <c r="A10" s="711">
        <v>5</v>
      </c>
      <c r="B10" s="93" t="s">
        <v>525</v>
      </c>
      <c r="C10" s="713">
        <v>0</v>
      </c>
      <c r="D10" s="714">
        <v>0</v>
      </c>
      <c r="E10" s="712">
        <v>0</v>
      </c>
      <c r="F10" s="731">
        <v>0</v>
      </c>
      <c r="G10" s="732">
        <v>0</v>
      </c>
      <c r="H10" s="730">
        <v>0</v>
      </c>
      <c r="I10" s="713">
        <v>0</v>
      </c>
      <c r="J10" s="714">
        <v>0</v>
      </c>
      <c r="K10" s="712">
        <v>0</v>
      </c>
      <c r="L10" s="731">
        <v>345</v>
      </c>
      <c r="M10" s="732">
        <v>345</v>
      </c>
      <c r="N10" s="730">
        <v>0</v>
      </c>
      <c r="O10" s="713">
        <v>0</v>
      </c>
      <c r="P10" s="714">
        <v>0</v>
      </c>
      <c r="Q10" s="712">
        <v>0</v>
      </c>
      <c r="R10" s="731">
        <v>0</v>
      </c>
      <c r="S10" s="732">
        <v>0</v>
      </c>
      <c r="T10" s="730">
        <v>0</v>
      </c>
    </row>
    <row r="11" spans="1:20" ht="23.25" x14ac:dyDescent="0.35">
      <c r="A11" s="711">
        <v>6</v>
      </c>
      <c r="B11" s="93" t="s">
        <v>334</v>
      </c>
      <c r="C11" s="713"/>
      <c r="D11" s="714"/>
      <c r="E11" s="712"/>
      <c r="F11" s="731"/>
      <c r="G11" s="732"/>
      <c r="H11" s="730"/>
      <c r="I11" s="713"/>
      <c r="J11" s="714"/>
      <c r="K11" s="712"/>
      <c r="L11" s="731"/>
      <c r="M11" s="732"/>
      <c r="N11" s="730"/>
      <c r="O11" s="713"/>
      <c r="P11" s="714"/>
      <c r="Q11" s="712"/>
      <c r="R11" s="731"/>
      <c r="S11" s="732"/>
      <c r="T11" s="730"/>
    </row>
    <row r="12" spans="1:20" ht="23.25" x14ac:dyDescent="0.35">
      <c r="A12" s="711">
        <v>7</v>
      </c>
      <c r="B12" s="93" t="s">
        <v>333</v>
      </c>
      <c r="C12" s="712"/>
      <c r="D12" s="712"/>
      <c r="E12" s="712"/>
      <c r="F12" s="730"/>
      <c r="G12" s="730"/>
      <c r="H12" s="730"/>
      <c r="I12" s="712"/>
      <c r="J12" s="712"/>
      <c r="K12" s="712"/>
      <c r="L12" s="730"/>
      <c r="M12" s="730"/>
      <c r="N12" s="730"/>
      <c r="O12" s="712"/>
      <c r="P12" s="712"/>
      <c r="Q12" s="712"/>
      <c r="R12" s="730"/>
      <c r="S12" s="730"/>
      <c r="T12" s="730"/>
    </row>
    <row r="13" spans="1:20" ht="23.25" x14ac:dyDescent="0.35">
      <c r="A13" s="711">
        <v>8</v>
      </c>
      <c r="B13" s="93" t="s">
        <v>445</v>
      </c>
      <c r="C13" s="713"/>
      <c r="D13" s="713"/>
      <c r="E13" s="712"/>
      <c r="F13" s="731"/>
      <c r="G13" s="731"/>
      <c r="H13" s="730"/>
      <c r="I13" s="713"/>
      <c r="J13" s="713"/>
      <c r="K13" s="712"/>
      <c r="L13" s="731"/>
      <c r="M13" s="731"/>
      <c r="N13" s="730"/>
      <c r="O13" s="713"/>
      <c r="P13" s="713"/>
      <c r="Q13" s="712"/>
      <c r="R13" s="731"/>
      <c r="S13" s="731"/>
      <c r="T13" s="730"/>
    </row>
    <row r="14" spans="1:20" ht="29.25" customHeight="1" x14ac:dyDescent="0.25">
      <c r="A14" s="715" t="s">
        <v>526</v>
      </c>
      <c r="B14" s="716" t="s">
        <v>308</v>
      </c>
      <c r="C14" s="717"/>
      <c r="D14" s="718"/>
      <c r="E14" s="712"/>
      <c r="F14" s="733"/>
      <c r="G14" s="734"/>
      <c r="H14" s="730"/>
      <c r="I14" s="717"/>
      <c r="J14" s="718"/>
      <c r="K14" s="712"/>
      <c r="L14" s="733"/>
      <c r="M14" s="734"/>
      <c r="N14" s="730"/>
      <c r="O14" s="717"/>
      <c r="P14" s="718"/>
      <c r="Q14" s="712"/>
      <c r="R14" s="733"/>
      <c r="S14" s="734"/>
      <c r="T14" s="730"/>
    </row>
    <row r="15" spans="1:20" ht="23.25" x14ac:dyDescent="0.35">
      <c r="A15" s="711">
        <v>9</v>
      </c>
      <c r="B15" s="93" t="s">
        <v>309</v>
      </c>
      <c r="C15" s="713"/>
      <c r="D15" s="713"/>
      <c r="E15" s="712"/>
      <c r="F15" s="731"/>
      <c r="G15" s="731"/>
      <c r="H15" s="730"/>
      <c r="I15" s="713"/>
      <c r="J15" s="713"/>
      <c r="K15" s="712"/>
      <c r="L15" s="731"/>
      <c r="M15" s="731"/>
      <c r="N15" s="730"/>
      <c r="O15" s="713"/>
      <c r="P15" s="713"/>
      <c r="Q15" s="712"/>
      <c r="R15" s="731"/>
      <c r="S15" s="731"/>
      <c r="T15" s="730"/>
    </row>
    <row r="16" spans="1:20" ht="23.25" x14ac:dyDescent="0.35">
      <c r="A16" s="711">
        <v>10</v>
      </c>
      <c r="B16" s="93" t="s">
        <v>312</v>
      </c>
      <c r="C16" s="713"/>
      <c r="D16" s="713"/>
      <c r="E16" s="712"/>
      <c r="F16" s="731"/>
      <c r="G16" s="731"/>
      <c r="H16" s="730"/>
      <c r="I16" s="713"/>
      <c r="J16" s="713"/>
      <c r="K16" s="712"/>
      <c r="L16" s="731"/>
      <c r="M16" s="731"/>
      <c r="N16" s="730"/>
      <c r="O16" s="713"/>
      <c r="P16" s="713"/>
      <c r="Q16" s="712"/>
      <c r="R16" s="731"/>
      <c r="S16" s="731"/>
      <c r="T16" s="730"/>
    </row>
    <row r="17" spans="1:20" ht="23.25" x14ac:dyDescent="0.35">
      <c r="A17" s="711">
        <v>11</v>
      </c>
      <c r="B17" s="93" t="s">
        <v>310</v>
      </c>
      <c r="C17" s="713"/>
      <c r="D17" s="713"/>
      <c r="E17" s="712"/>
      <c r="F17" s="731"/>
      <c r="G17" s="731"/>
      <c r="H17" s="730"/>
      <c r="I17" s="713"/>
      <c r="J17" s="713"/>
      <c r="K17" s="712"/>
      <c r="L17" s="731"/>
      <c r="M17" s="731"/>
      <c r="N17" s="730"/>
      <c r="O17" s="713"/>
      <c r="P17" s="713"/>
      <c r="Q17" s="712"/>
      <c r="R17" s="731"/>
      <c r="S17" s="731"/>
      <c r="T17" s="730"/>
    </row>
    <row r="18" spans="1:20" ht="23.25" x14ac:dyDescent="0.35">
      <c r="A18" s="711">
        <v>12</v>
      </c>
      <c r="B18" s="93" t="s">
        <v>311</v>
      </c>
      <c r="C18" s="713"/>
      <c r="D18" s="713"/>
      <c r="E18" s="712"/>
      <c r="F18" s="731"/>
      <c r="G18" s="731"/>
      <c r="H18" s="730"/>
      <c r="I18" s="713"/>
      <c r="J18" s="713"/>
      <c r="K18" s="712"/>
      <c r="L18" s="731"/>
      <c r="M18" s="731"/>
      <c r="N18" s="730"/>
      <c r="O18" s="713"/>
      <c r="P18" s="713"/>
      <c r="Q18" s="712"/>
      <c r="R18" s="731"/>
      <c r="S18" s="731"/>
      <c r="T18" s="730"/>
    </row>
    <row r="19" spans="1:20" ht="23.25" x14ac:dyDescent="0.35">
      <c r="A19" s="711">
        <v>13</v>
      </c>
      <c r="B19" s="93" t="s">
        <v>313</v>
      </c>
      <c r="C19" s="713"/>
      <c r="D19" s="713"/>
      <c r="E19" s="712"/>
      <c r="F19" s="731"/>
      <c r="G19" s="731"/>
      <c r="H19" s="730"/>
      <c r="I19" s="713"/>
      <c r="J19" s="713"/>
      <c r="K19" s="712"/>
      <c r="L19" s="731"/>
      <c r="M19" s="731"/>
      <c r="N19" s="730"/>
      <c r="O19" s="713"/>
      <c r="P19" s="713"/>
      <c r="Q19" s="712"/>
      <c r="R19" s="731"/>
      <c r="S19" s="731"/>
      <c r="T19" s="730"/>
    </row>
    <row r="20" spans="1:20" ht="23.25" x14ac:dyDescent="0.35">
      <c r="A20" s="711">
        <v>14</v>
      </c>
      <c r="B20" s="93" t="s">
        <v>527</v>
      </c>
      <c r="C20" s="713"/>
      <c r="D20" s="714"/>
      <c r="E20" s="712"/>
      <c r="F20" s="731"/>
      <c r="G20" s="732"/>
      <c r="H20" s="730"/>
      <c r="I20" s="713"/>
      <c r="J20" s="714"/>
      <c r="K20" s="712"/>
      <c r="L20" s="731"/>
      <c r="M20" s="732"/>
      <c r="N20" s="730"/>
      <c r="O20" s="713"/>
      <c r="P20" s="714"/>
      <c r="Q20" s="712"/>
      <c r="R20" s="731"/>
      <c r="S20" s="732"/>
      <c r="T20" s="730"/>
    </row>
    <row r="21" spans="1:20" ht="26.25" customHeight="1" x14ac:dyDescent="0.25">
      <c r="A21" s="715" t="s">
        <v>528</v>
      </c>
      <c r="B21" s="716" t="s">
        <v>359</v>
      </c>
      <c r="C21" s="717"/>
      <c r="D21" s="718"/>
      <c r="E21" s="712"/>
      <c r="F21" s="733"/>
      <c r="G21" s="734"/>
      <c r="H21" s="730"/>
      <c r="I21" s="717"/>
      <c r="J21" s="718"/>
      <c r="K21" s="712"/>
      <c r="L21" s="733"/>
      <c r="M21" s="734"/>
      <c r="N21" s="730"/>
      <c r="O21" s="717"/>
      <c r="P21" s="718"/>
      <c r="Q21" s="712"/>
      <c r="R21" s="733"/>
      <c r="S21" s="734"/>
      <c r="T21" s="730"/>
    </row>
    <row r="22" spans="1:20" ht="23.25" x14ac:dyDescent="0.35">
      <c r="A22" s="711">
        <v>15</v>
      </c>
      <c r="B22" s="93" t="s">
        <v>447</v>
      </c>
      <c r="C22" s="713"/>
      <c r="D22" s="713"/>
      <c r="E22" s="712"/>
      <c r="F22" s="731"/>
      <c r="G22" s="731"/>
      <c r="H22" s="730"/>
      <c r="I22" s="713"/>
      <c r="J22" s="713"/>
      <c r="K22" s="712"/>
      <c r="L22" s="731"/>
      <c r="M22" s="731"/>
      <c r="N22" s="730"/>
      <c r="O22" s="713"/>
      <c r="P22" s="713"/>
      <c r="Q22" s="712"/>
      <c r="R22" s="731"/>
      <c r="S22" s="731"/>
      <c r="T22" s="730"/>
    </row>
    <row r="23" spans="1:20" ht="23.25" x14ac:dyDescent="0.35">
      <c r="A23" s="711">
        <v>16</v>
      </c>
      <c r="B23" s="93" t="s">
        <v>448</v>
      </c>
      <c r="C23" s="713"/>
      <c r="D23" s="713"/>
      <c r="E23" s="712"/>
      <c r="F23" s="731"/>
      <c r="G23" s="731"/>
      <c r="H23" s="730"/>
      <c r="I23" s="713"/>
      <c r="J23" s="713"/>
      <c r="K23" s="712"/>
      <c r="L23" s="731"/>
      <c r="M23" s="731"/>
      <c r="N23" s="730"/>
      <c r="O23" s="713"/>
      <c r="P23" s="713"/>
      <c r="Q23" s="712"/>
      <c r="R23" s="731"/>
      <c r="S23" s="731"/>
      <c r="T23" s="730"/>
    </row>
    <row r="24" spans="1:20" ht="23.25" x14ac:dyDescent="0.35">
      <c r="A24" s="711">
        <v>17</v>
      </c>
      <c r="B24" s="93" t="s">
        <v>361</v>
      </c>
      <c r="C24" s="713"/>
      <c r="D24" s="713"/>
      <c r="E24" s="712"/>
      <c r="F24" s="731"/>
      <c r="G24" s="731"/>
      <c r="H24" s="730"/>
      <c r="I24" s="713"/>
      <c r="J24" s="713"/>
      <c r="K24" s="712"/>
      <c r="L24" s="731"/>
      <c r="M24" s="731"/>
      <c r="N24" s="730"/>
      <c r="O24" s="713"/>
      <c r="P24" s="713"/>
      <c r="Q24" s="712"/>
      <c r="R24" s="731"/>
      <c r="S24" s="731"/>
      <c r="T24" s="730"/>
    </row>
    <row r="25" spans="1:20" ht="23.25" x14ac:dyDescent="0.35">
      <c r="A25" s="711">
        <v>18</v>
      </c>
      <c r="B25" s="93" t="s">
        <v>360</v>
      </c>
      <c r="C25" s="713"/>
      <c r="D25" s="713"/>
      <c r="E25" s="712"/>
      <c r="F25" s="731"/>
      <c r="G25" s="731"/>
      <c r="H25" s="730"/>
      <c r="I25" s="713"/>
      <c r="J25" s="713"/>
      <c r="K25" s="712"/>
      <c r="L25" s="731"/>
      <c r="M25" s="731"/>
      <c r="N25" s="730"/>
      <c r="O25" s="713"/>
      <c r="P25" s="713"/>
      <c r="Q25" s="712"/>
      <c r="R25" s="731"/>
      <c r="S25" s="731"/>
      <c r="T25" s="730"/>
    </row>
    <row r="26" spans="1:20" ht="23.25" x14ac:dyDescent="0.35">
      <c r="A26" s="711">
        <v>19</v>
      </c>
      <c r="B26" s="93" t="s">
        <v>362</v>
      </c>
      <c r="C26" s="713"/>
      <c r="D26" s="713"/>
      <c r="E26" s="712"/>
      <c r="F26" s="731"/>
      <c r="G26" s="731"/>
      <c r="H26" s="730"/>
      <c r="I26" s="713"/>
      <c r="J26" s="713"/>
      <c r="K26" s="712"/>
      <c r="L26" s="731"/>
      <c r="M26" s="731"/>
      <c r="N26" s="730"/>
      <c r="O26" s="713"/>
      <c r="P26" s="713"/>
      <c r="Q26" s="712"/>
      <c r="R26" s="731"/>
      <c r="S26" s="731"/>
      <c r="T26" s="730"/>
    </row>
    <row r="27" spans="1:20" ht="23.25" x14ac:dyDescent="0.35">
      <c r="A27" s="711">
        <v>20</v>
      </c>
      <c r="B27" s="93" t="s">
        <v>363</v>
      </c>
      <c r="C27" s="713"/>
      <c r="D27" s="713"/>
      <c r="E27" s="712"/>
      <c r="F27" s="731"/>
      <c r="G27" s="731"/>
      <c r="H27" s="730"/>
      <c r="I27" s="713"/>
      <c r="J27" s="713"/>
      <c r="K27" s="712"/>
      <c r="L27" s="731"/>
      <c r="M27" s="731"/>
      <c r="N27" s="730"/>
      <c r="O27" s="713"/>
      <c r="P27" s="713"/>
      <c r="Q27" s="712"/>
      <c r="R27" s="731"/>
      <c r="S27" s="731"/>
      <c r="T27" s="730"/>
    </row>
    <row r="28" spans="1:20" ht="27" customHeight="1" x14ac:dyDescent="0.25">
      <c r="A28" s="715" t="s">
        <v>529</v>
      </c>
      <c r="B28" s="716" t="s">
        <v>355</v>
      </c>
      <c r="C28" s="717"/>
      <c r="D28" s="718"/>
      <c r="E28" s="712"/>
      <c r="F28" s="733"/>
      <c r="G28" s="734"/>
      <c r="H28" s="730"/>
      <c r="I28" s="717"/>
      <c r="J28" s="718"/>
      <c r="K28" s="712"/>
      <c r="L28" s="733"/>
      <c r="M28" s="734"/>
      <c r="N28" s="730"/>
      <c r="O28" s="717"/>
      <c r="P28" s="718"/>
      <c r="Q28" s="712"/>
      <c r="R28" s="733"/>
      <c r="S28" s="734"/>
      <c r="T28" s="730"/>
    </row>
    <row r="29" spans="1:20" ht="20.25" x14ac:dyDescent="0.3">
      <c r="A29" s="719">
        <v>21</v>
      </c>
      <c r="B29" s="720" t="s">
        <v>358</v>
      </c>
      <c r="C29" s="713"/>
      <c r="D29" s="713"/>
      <c r="E29" s="712"/>
      <c r="F29" s="731"/>
      <c r="G29" s="731"/>
      <c r="H29" s="730"/>
      <c r="I29" s="713"/>
      <c r="J29" s="713"/>
      <c r="K29" s="712"/>
      <c r="L29" s="731"/>
      <c r="M29" s="731"/>
      <c r="N29" s="730"/>
      <c r="O29" s="713"/>
      <c r="P29" s="713"/>
      <c r="Q29" s="712"/>
      <c r="R29" s="731"/>
      <c r="S29" s="731"/>
      <c r="T29" s="730"/>
    </row>
    <row r="30" spans="1:20" ht="20.25" x14ac:dyDescent="0.3">
      <c r="A30" s="719">
        <v>22</v>
      </c>
      <c r="B30" s="720" t="s">
        <v>356</v>
      </c>
      <c r="C30" s="713"/>
      <c r="D30" s="713"/>
      <c r="E30" s="712"/>
      <c r="F30" s="731"/>
      <c r="G30" s="731"/>
      <c r="H30" s="730"/>
      <c r="I30" s="713"/>
      <c r="J30" s="713"/>
      <c r="K30" s="712"/>
      <c r="L30" s="731"/>
      <c r="M30" s="731"/>
      <c r="N30" s="730"/>
      <c r="O30" s="713"/>
      <c r="P30" s="713"/>
      <c r="Q30" s="712"/>
      <c r="R30" s="731"/>
      <c r="S30" s="731"/>
      <c r="T30" s="730"/>
    </row>
    <row r="31" spans="1:20" ht="20.25" x14ac:dyDescent="0.3">
      <c r="A31" s="719">
        <v>23</v>
      </c>
      <c r="B31" s="720" t="s">
        <v>357</v>
      </c>
      <c r="C31" s="713"/>
      <c r="D31" s="713"/>
      <c r="E31" s="712"/>
      <c r="F31" s="731"/>
      <c r="G31" s="731"/>
      <c r="H31" s="730"/>
      <c r="I31" s="713"/>
      <c r="J31" s="713"/>
      <c r="K31" s="712"/>
      <c r="L31" s="731"/>
      <c r="M31" s="731"/>
      <c r="N31" s="730"/>
      <c r="O31" s="713"/>
      <c r="P31" s="713"/>
      <c r="Q31" s="712"/>
      <c r="R31" s="731"/>
      <c r="S31" s="731"/>
      <c r="T31" s="730"/>
    </row>
    <row r="32" spans="1:20" ht="32.25" customHeight="1" x14ac:dyDescent="0.25">
      <c r="A32" s="715" t="s">
        <v>530</v>
      </c>
      <c r="B32" s="716" t="s">
        <v>531</v>
      </c>
      <c r="C32" s="717"/>
      <c r="D32" s="718"/>
      <c r="E32" s="712"/>
      <c r="F32" s="733"/>
      <c r="G32" s="734"/>
      <c r="H32" s="730"/>
      <c r="I32" s="717"/>
      <c r="J32" s="718"/>
      <c r="K32" s="712"/>
      <c r="L32" s="733"/>
      <c r="M32" s="734"/>
      <c r="N32" s="730"/>
      <c r="O32" s="717"/>
      <c r="P32" s="718"/>
      <c r="Q32" s="712"/>
      <c r="R32" s="733"/>
      <c r="S32" s="734"/>
      <c r="T32" s="730"/>
    </row>
    <row r="33" spans="1:20" ht="23.25" x14ac:dyDescent="0.35">
      <c r="A33" s="711">
        <v>24</v>
      </c>
      <c r="B33" s="93" t="s">
        <v>351</v>
      </c>
      <c r="C33" s="713"/>
      <c r="D33" s="713"/>
      <c r="E33" s="712"/>
      <c r="F33" s="731"/>
      <c r="G33" s="731"/>
      <c r="H33" s="730"/>
      <c r="I33" s="713"/>
      <c r="J33" s="713"/>
      <c r="K33" s="712"/>
      <c r="L33" s="731"/>
      <c r="M33" s="731"/>
      <c r="N33" s="730"/>
      <c r="O33" s="713"/>
      <c r="P33" s="713"/>
      <c r="Q33" s="712"/>
      <c r="R33" s="731"/>
      <c r="S33" s="731"/>
      <c r="T33" s="730"/>
    </row>
    <row r="34" spans="1:20" ht="23.25" x14ac:dyDescent="0.35">
      <c r="A34" s="711">
        <v>25</v>
      </c>
      <c r="B34" s="93" t="s">
        <v>352</v>
      </c>
      <c r="C34" s="713"/>
      <c r="D34" s="712"/>
      <c r="E34" s="712"/>
      <c r="F34" s="731"/>
      <c r="G34" s="730"/>
      <c r="H34" s="730"/>
      <c r="I34" s="713"/>
      <c r="J34" s="712"/>
      <c r="K34" s="712"/>
      <c r="L34" s="731"/>
      <c r="M34" s="730"/>
      <c r="N34" s="730"/>
      <c r="O34" s="713"/>
      <c r="P34" s="712"/>
      <c r="Q34" s="712"/>
      <c r="R34" s="731"/>
      <c r="S34" s="730"/>
      <c r="T34" s="730"/>
    </row>
    <row r="35" spans="1:20" ht="23.25" x14ac:dyDescent="0.35">
      <c r="A35" s="711">
        <v>26</v>
      </c>
      <c r="B35" s="93" t="s">
        <v>353</v>
      </c>
      <c r="C35" s="713"/>
      <c r="D35" s="714"/>
      <c r="E35" s="712"/>
      <c r="F35" s="731"/>
      <c r="G35" s="732"/>
      <c r="H35" s="730"/>
      <c r="I35" s="713"/>
      <c r="J35" s="714"/>
      <c r="K35" s="712"/>
      <c r="L35" s="731"/>
      <c r="M35" s="732"/>
      <c r="N35" s="730"/>
      <c r="O35" s="713"/>
      <c r="P35" s="714"/>
      <c r="Q35" s="712"/>
      <c r="R35" s="731"/>
      <c r="S35" s="732"/>
      <c r="T35" s="730"/>
    </row>
    <row r="36" spans="1:20" ht="23.25" x14ac:dyDescent="0.35">
      <c r="A36" s="711">
        <v>27</v>
      </c>
      <c r="B36" s="93" t="s">
        <v>354</v>
      </c>
      <c r="C36" s="713"/>
      <c r="D36" s="713"/>
      <c r="E36" s="712"/>
      <c r="F36" s="731"/>
      <c r="G36" s="731"/>
      <c r="H36" s="730"/>
      <c r="I36" s="713"/>
      <c r="J36" s="713"/>
      <c r="K36" s="712"/>
      <c r="L36" s="731"/>
      <c r="M36" s="731"/>
      <c r="N36" s="730"/>
      <c r="O36" s="713"/>
      <c r="P36" s="713"/>
      <c r="Q36" s="712"/>
      <c r="R36" s="731"/>
      <c r="S36" s="731"/>
      <c r="T36" s="730"/>
    </row>
    <row r="37" spans="1:20" ht="22.5" customHeight="1" x14ac:dyDescent="0.25">
      <c r="A37" s="715" t="s">
        <v>532</v>
      </c>
      <c r="B37" s="721" t="s">
        <v>343</v>
      </c>
      <c r="C37" s="722"/>
      <c r="D37" s="712"/>
      <c r="E37" s="712"/>
      <c r="F37" s="735"/>
      <c r="G37" s="730"/>
      <c r="H37" s="730"/>
      <c r="I37" s="722"/>
      <c r="J37" s="712"/>
      <c r="K37" s="712"/>
      <c r="L37" s="735"/>
      <c r="M37" s="730"/>
      <c r="N37" s="730"/>
      <c r="O37" s="722"/>
      <c r="P37" s="712"/>
      <c r="Q37" s="712"/>
      <c r="R37" s="735"/>
      <c r="S37" s="730"/>
      <c r="T37" s="730"/>
    </row>
    <row r="38" spans="1:20" ht="23.25" x14ac:dyDescent="0.35">
      <c r="A38" s="711">
        <v>28</v>
      </c>
      <c r="B38" s="93" t="s">
        <v>346</v>
      </c>
      <c r="C38" s="713"/>
      <c r="D38" s="712"/>
      <c r="E38" s="712"/>
      <c r="F38" s="731"/>
      <c r="G38" s="730"/>
      <c r="H38" s="730"/>
      <c r="I38" s="713"/>
      <c r="J38" s="712"/>
      <c r="K38" s="712"/>
      <c r="L38" s="731"/>
      <c r="M38" s="730"/>
      <c r="N38" s="730"/>
      <c r="O38" s="713"/>
      <c r="P38" s="712"/>
      <c r="Q38" s="712"/>
      <c r="R38" s="731"/>
      <c r="S38" s="730"/>
      <c r="T38" s="730"/>
    </row>
    <row r="39" spans="1:20" ht="23.25" x14ac:dyDescent="0.35">
      <c r="A39" s="711">
        <v>29</v>
      </c>
      <c r="B39" s="93" t="s">
        <v>348</v>
      </c>
      <c r="C39" s="713"/>
      <c r="D39" s="712"/>
      <c r="E39" s="712"/>
      <c r="F39" s="731"/>
      <c r="G39" s="730"/>
      <c r="H39" s="730"/>
      <c r="I39" s="713"/>
      <c r="J39" s="712"/>
      <c r="K39" s="712"/>
      <c r="L39" s="731"/>
      <c r="M39" s="730"/>
      <c r="N39" s="730"/>
      <c r="O39" s="713"/>
      <c r="P39" s="712"/>
      <c r="Q39" s="712"/>
      <c r="R39" s="731"/>
      <c r="S39" s="730"/>
      <c r="T39" s="730"/>
    </row>
    <row r="40" spans="1:20" ht="23.25" x14ac:dyDescent="0.35">
      <c r="A40" s="711">
        <v>30</v>
      </c>
      <c r="B40" s="93" t="s">
        <v>344</v>
      </c>
      <c r="C40" s="713"/>
      <c r="D40" s="712"/>
      <c r="E40" s="712"/>
      <c r="F40" s="731"/>
      <c r="G40" s="730"/>
      <c r="H40" s="730"/>
      <c r="I40" s="713"/>
      <c r="J40" s="712"/>
      <c r="K40" s="712"/>
      <c r="L40" s="731"/>
      <c r="M40" s="730"/>
      <c r="N40" s="730"/>
      <c r="O40" s="713"/>
      <c r="P40" s="712"/>
      <c r="Q40" s="712"/>
      <c r="R40" s="731"/>
      <c r="S40" s="730"/>
      <c r="T40" s="730"/>
    </row>
    <row r="41" spans="1:20" ht="23.25" x14ac:dyDescent="0.35">
      <c r="A41" s="711">
        <v>31</v>
      </c>
      <c r="B41" s="93" t="s">
        <v>345</v>
      </c>
      <c r="C41" s="713"/>
      <c r="D41" s="712"/>
      <c r="E41" s="712"/>
      <c r="F41" s="731"/>
      <c r="G41" s="730"/>
      <c r="H41" s="730"/>
      <c r="I41" s="713"/>
      <c r="J41" s="712"/>
      <c r="K41" s="712"/>
      <c r="L41" s="731"/>
      <c r="M41" s="730"/>
      <c r="N41" s="730"/>
      <c r="O41" s="713"/>
      <c r="P41" s="712"/>
      <c r="Q41" s="712"/>
      <c r="R41" s="731"/>
      <c r="S41" s="730"/>
      <c r="T41" s="730"/>
    </row>
    <row r="42" spans="1:20" ht="23.25" x14ac:dyDescent="0.35">
      <c r="A42" s="711">
        <v>32</v>
      </c>
      <c r="B42" s="93" t="s">
        <v>347</v>
      </c>
      <c r="C42" s="713"/>
      <c r="D42" s="712"/>
      <c r="E42" s="712"/>
      <c r="F42" s="731"/>
      <c r="G42" s="730"/>
      <c r="H42" s="730"/>
      <c r="I42" s="713"/>
      <c r="J42" s="712"/>
      <c r="K42" s="712"/>
      <c r="L42" s="731"/>
      <c r="M42" s="730"/>
      <c r="N42" s="730"/>
      <c r="O42" s="713"/>
      <c r="P42" s="712"/>
      <c r="Q42" s="712"/>
      <c r="R42" s="731"/>
      <c r="S42" s="730"/>
      <c r="T42" s="730"/>
    </row>
    <row r="43" spans="1:20" ht="23.25" x14ac:dyDescent="0.35">
      <c r="A43" s="711">
        <v>33</v>
      </c>
      <c r="B43" s="93" t="s">
        <v>349</v>
      </c>
      <c r="C43" s="713"/>
      <c r="D43" s="712"/>
      <c r="E43" s="712"/>
      <c r="F43" s="731"/>
      <c r="G43" s="730"/>
      <c r="H43" s="730"/>
      <c r="I43" s="713"/>
      <c r="J43" s="712"/>
      <c r="K43" s="712"/>
      <c r="L43" s="731"/>
      <c r="M43" s="730"/>
      <c r="N43" s="730"/>
      <c r="O43" s="713"/>
      <c r="P43" s="712"/>
      <c r="Q43" s="712"/>
      <c r="R43" s="731"/>
      <c r="S43" s="730"/>
      <c r="T43" s="730"/>
    </row>
    <row r="44" spans="1:20" ht="26.25" x14ac:dyDescent="0.4">
      <c r="A44" s="723" t="s">
        <v>533</v>
      </c>
      <c r="B44" s="100" t="s">
        <v>321</v>
      </c>
      <c r="C44" s="724"/>
      <c r="D44" s="712"/>
      <c r="E44" s="712"/>
      <c r="F44" s="736"/>
      <c r="G44" s="730"/>
      <c r="H44" s="730"/>
      <c r="I44" s="724"/>
      <c r="J44" s="712"/>
      <c r="K44" s="712"/>
      <c r="L44" s="736"/>
      <c r="M44" s="730"/>
      <c r="N44" s="730"/>
      <c r="O44" s="724"/>
      <c r="P44" s="712"/>
      <c r="Q44" s="712"/>
      <c r="R44" s="736"/>
      <c r="S44" s="730"/>
      <c r="T44" s="730"/>
    </row>
    <row r="45" spans="1:20" ht="23.25" x14ac:dyDescent="0.35">
      <c r="A45" s="711">
        <v>34</v>
      </c>
      <c r="B45" s="93" t="s">
        <v>322</v>
      </c>
      <c r="C45" s="713"/>
      <c r="D45" s="712"/>
      <c r="E45" s="712"/>
      <c r="F45" s="731"/>
      <c r="G45" s="730"/>
      <c r="H45" s="730"/>
      <c r="I45" s="713"/>
      <c r="J45" s="712"/>
      <c r="K45" s="712"/>
      <c r="L45" s="731"/>
      <c r="M45" s="730"/>
      <c r="N45" s="730"/>
      <c r="O45" s="713"/>
      <c r="P45" s="712"/>
      <c r="Q45" s="712"/>
      <c r="R45" s="731"/>
      <c r="S45" s="730"/>
      <c r="T45" s="730"/>
    </row>
    <row r="46" spans="1:20" ht="23.25" x14ac:dyDescent="0.25">
      <c r="A46" s="725">
        <v>35</v>
      </c>
      <c r="B46" s="726" t="s">
        <v>323</v>
      </c>
      <c r="C46" s="727"/>
      <c r="D46" s="712"/>
      <c r="E46" s="712"/>
      <c r="F46" s="737"/>
      <c r="G46" s="730"/>
      <c r="H46" s="730"/>
      <c r="I46" s="727"/>
      <c r="J46" s="712"/>
      <c r="K46" s="712"/>
      <c r="L46" s="737"/>
      <c r="M46" s="730"/>
      <c r="N46" s="730"/>
      <c r="O46" s="727"/>
      <c r="P46" s="712"/>
      <c r="Q46" s="712"/>
      <c r="R46" s="737"/>
      <c r="S46" s="730"/>
      <c r="T46" s="730"/>
    </row>
    <row r="47" spans="1:20" ht="23.25" x14ac:dyDescent="0.35">
      <c r="A47" s="711">
        <v>36</v>
      </c>
      <c r="B47" s="93" t="s">
        <v>324</v>
      </c>
      <c r="C47" s="713"/>
      <c r="D47" s="712"/>
      <c r="E47" s="712"/>
      <c r="F47" s="731"/>
      <c r="G47" s="730"/>
      <c r="H47" s="730"/>
      <c r="I47" s="713"/>
      <c r="J47" s="712"/>
      <c r="K47" s="712"/>
      <c r="L47" s="731"/>
      <c r="M47" s="730"/>
      <c r="N47" s="730"/>
      <c r="O47" s="713"/>
      <c r="P47" s="712"/>
      <c r="Q47" s="712"/>
      <c r="R47" s="731"/>
      <c r="S47" s="730"/>
      <c r="T47" s="730"/>
    </row>
    <row r="48" spans="1:20" ht="23.25" x14ac:dyDescent="0.35">
      <c r="A48" s="711">
        <v>37</v>
      </c>
      <c r="B48" s="93" t="s">
        <v>325</v>
      </c>
      <c r="C48" s="713"/>
      <c r="D48" s="712"/>
      <c r="E48" s="712"/>
      <c r="F48" s="731"/>
      <c r="G48" s="730"/>
      <c r="H48" s="730"/>
      <c r="I48" s="713"/>
      <c r="J48" s="712"/>
      <c r="K48" s="712"/>
      <c r="L48" s="731"/>
      <c r="M48" s="730"/>
      <c r="N48" s="730"/>
      <c r="O48" s="713"/>
      <c r="P48" s="712"/>
      <c r="Q48" s="712"/>
      <c r="R48" s="731"/>
      <c r="S48" s="730"/>
      <c r="T48" s="730"/>
    </row>
    <row r="49" spans="1:20" ht="23.25" x14ac:dyDescent="0.35">
      <c r="A49" s="711">
        <v>38</v>
      </c>
      <c r="B49" s="93" t="s">
        <v>534</v>
      </c>
      <c r="C49" s="713"/>
      <c r="D49" s="712"/>
      <c r="E49" s="712"/>
      <c r="F49" s="731"/>
      <c r="G49" s="730"/>
      <c r="H49" s="730"/>
      <c r="I49" s="713"/>
      <c r="J49" s="712"/>
      <c r="K49" s="712"/>
      <c r="L49" s="731"/>
      <c r="M49" s="730"/>
      <c r="N49" s="730"/>
      <c r="O49" s="713"/>
      <c r="P49" s="712"/>
      <c r="Q49" s="712"/>
      <c r="R49" s="731"/>
      <c r="S49" s="730"/>
      <c r="T49" s="730"/>
    </row>
    <row r="50" spans="1:20" ht="26.25" x14ac:dyDescent="0.4">
      <c r="A50" s="728" t="s">
        <v>535</v>
      </c>
      <c r="B50" s="100" t="s">
        <v>336</v>
      </c>
      <c r="C50" s="724"/>
      <c r="D50" s="712"/>
      <c r="E50" s="712"/>
      <c r="F50" s="736"/>
      <c r="G50" s="730"/>
      <c r="H50" s="730"/>
      <c r="I50" s="724"/>
      <c r="J50" s="712"/>
      <c r="K50" s="712"/>
      <c r="L50" s="736"/>
      <c r="M50" s="730"/>
      <c r="N50" s="730"/>
      <c r="O50" s="724"/>
      <c r="P50" s="712"/>
      <c r="Q50" s="712"/>
      <c r="R50" s="736"/>
      <c r="S50" s="730"/>
      <c r="T50" s="730"/>
    </row>
    <row r="51" spans="1:20" ht="23.25" x14ac:dyDescent="0.35">
      <c r="A51" s="711">
        <v>39</v>
      </c>
      <c r="B51" s="93" t="s">
        <v>339</v>
      </c>
      <c r="C51" s="713"/>
      <c r="D51" s="712"/>
      <c r="E51" s="712"/>
      <c r="F51" s="731"/>
      <c r="G51" s="730"/>
      <c r="H51" s="730"/>
      <c r="I51" s="713"/>
      <c r="J51" s="712"/>
      <c r="K51" s="712"/>
      <c r="L51" s="731"/>
      <c r="M51" s="730"/>
      <c r="N51" s="730"/>
      <c r="O51" s="713"/>
      <c r="P51" s="712"/>
      <c r="Q51" s="712"/>
      <c r="R51" s="731"/>
      <c r="S51" s="730"/>
      <c r="T51" s="730"/>
    </row>
    <row r="52" spans="1:20" ht="23.25" x14ac:dyDescent="0.35">
      <c r="A52" s="711">
        <v>40</v>
      </c>
      <c r="B52" s="93" t="s">
        <v>340</v>
      </c>
      <c r="C52" s="713"/>
      <c r="D52" s="712"/>
      <c r="E52" s="712"/>
      <c r="F52" s="731"/>
      <c r="G52" s="730"/>
      <c r="H52" s="730"/>
      <c r="I52" s="713"/>
      <c r="J52" s="712"/>
      <c r="K52" s="712"/>
      <c r="L52" s="731"/>
      <c r="M52" s="730"/>
      <c r="N52" s="730"/>
      <c r="O52" s="713"/>
      <c r="P52" s="712"/>
      <c r="Q52" s="712"/>
      <c r="R52" s="731"/>
      <c r="S52" s="730"/>
      <c r="T52" s="730"/>
    </row>
    <row r="53" spans="1:20" ht="23.25" x14ac:dyDescent="0.25">
      <c r="A53" s="725">
        <v>41</v>
      </c>
      <c r="B53" s="729" t="s">
        <v>337</v>
      </c>
      <c r="C53" s="727"/>
      <c r="D53" s="712"/>
      <c r="E53" s="712"/>
      <c r="F53" s="737"/>
      <c r="G53" s="730"/>
      <c r="H53" s="730"/>
      <c r="I53" s="727"/>
      <c r="J53" s="712"/>
      <c r="K53" s="712"/>
      <c r="L53" s="737"/>
      <c r="M53" s="730"/>
      <c r="N53" s="730"/>
      <c r="O53" s="727"/>
      <c r="P53" s="712"/>
      <c r="Q53" s="712"/>
      <c r="R53" s="737"/>
      <c r="S53" s="730"/>
      <c r="T53" s="730"/>
    </row>
    <row r="54" spans="1:20" ht="23.25" x14ac:dyDescent="0.35">
      <c r="A54" s="711">
        <v>42</v>
      </c>
      <c r="B54" s="93" t="s">
        <v>338</v>
      </c>
      <c r="C54" s="713"/>
      <c r="D54" s="712"/>
      <c r="E54" s="712"/>
      <c r="F54" s="731"/>
      <c r="G54" s="730"/>
      <c r="H54" s="730"/>
      <c r="I54" s="713"/>
      <c r="J54" s="712"/>
      <c r="K54" s="712"/>
      <c r="L54" s="731"/>
      <c r="M54" s="730"/>
      <c r="N54" s="730"/>
      <c r="O54" s="713"/>
      <c r="P54" s="712"/>
      <c r="Q54" s="712"/>
      <c r="R54" s="731"/>
      <c r="S54" s="730"/>
      <c r="T54" s="730"/>
    </row>
    <row r="55" spans="1:20" ht="23.25" x14ac:dyDescent="0.35">
      <c r="A55" s="711">
        <v>43</v>
      </c>
      <c r="B55" s="93" t="s">
        <v>446</v>
      </c>
      <c r="C55" s="713"/>
      <c r="D55" s="712"/>
      <c r="E55" s="712"/>
      <c r="F55" s="731"/>
      <c r="G55" s="730"/>
      <c r="H55" s="730"/>
      <c r="I55" s="713"/>
      <c r="J55" s="712"/>
      <c r="K55" s="712"/>
      <c r="L55" s="731"/>
      <c r="M55" s="730"/>
      <c r="N55" s="730"/>
      <c r="O55" s="713"/>
      <c r="P55" s="712"/>
      <c r="Q55" s="712"/>
      <c r="R55" s="731"/>
      <c r="S55" s="730"/>
      <c r="T55" s="730"/>
    </row>
    <row r="56" spans="1:20" ht="23.25" x14ac:dyDescent="0.35">
      <c r="A56" s="711">
        <v>44</v>
      </c>
      <c r="B56" s="93" t="s">
        <v>341</v>
      </c>
      <c r="C56" s="713"/>
      <c r="D56" s="712"/>
      <c r="E56" s="712"/>
      <c r="F56" s="731"/>
      <c r="G56" s="730"/>
      <c r="H56" s="730"/>
      <c r="I56" s="713"/>
      <c r="J56" s="712"/>
      <c r="K56" s="712"/>
      <c r="L56" s="731"/>
      <c r="M56" s="730"/>
      <c r="N56" s="730"/>
      <c r="O56" s="713"/>
      <c r="P56" s="712"/>
      <c r="Q56" s="712"/>
      <c r="R56" s="731"/>
      <c r="S56" s="730"/>
      <c r="T56" s="730"/>
    </row>
    <row r="57" spans="1:20" ht="26.25" x14ac:dyDescent="0.4">
      <c r="A57" s="728" t="s">
        <v>536</v>
      </c>
      <c r="B57" s="100" t="s">
        <v>315</v>
      </c>
      <c r="C57" s="724"/>
      <c r="D57" s="712"/>
      <c r="E57" s="712"/>
      <c r="F57" s="736"/>
      <c r="G57" s="730"/>
      <c r="H57" s="730"/>
      <c r="I57" s="724"/>
      <c r="J57" s="712"/>
      <c r="K57" s="712"/>
      <c r="L57" s="736"/>
      <c r="M57" s="730"/>
      <c r="N57" s="730"/>
      <c r="O57" s="724"/>
      <c r="P57" s="712"/>
      <c r="Q57" s="712"/>
      <c r="R57" s="736"/>
      <c r="S57" s="730"/>
      <c r="T57" s="730"/>
    </row>
    <row r="58" spans="1:20" ht="23.25" x14ac:dyDescent="0.35">
      <c r="A58" s="711">
        <v>45</v>
      </c>
      <c r="B58" s="93" t="s">
        <v>316</v>
      </c>
      <c r="C58" s="713"/>
      <c r="D58" s="712"/>
      <c r="E58" s="712"/>
      <c r="F58" s="731"/>
      <c r="G58" s="730"/>
      <c r="H58" s="730"/>
      <c r="I58" s="713"/>
      <c r="J58" s="712"/>
      <c r="K58" s="712"/>
      <c r="L58" s="731"/>
      <c r="M58" s="730"/>
      <c r="N58" s="730"/>
      <c r="O58" s="713"/>
      <c r="P58" s="712"/>
      <c r="Q58" s="712"/>
      <c r="R58" s="731"/>
      <c r="S58" s="730"/>
      <c r="T58" s="730"/>
    </row>
    <row r="59" spans="1:20" ht="23.25" x14ac:dyDescent="0.35">
      <c r="A59" s="711">
        <v>46</v>
      </c>
      <c r="B59" s="93" t="s">
        <v>317</v>
      </c>
      <c r="C59" s="713"/>
      <c r="D59" s="712"/>
      <c r="E59" s="712"/>
      <c r="F59" s="731"/>
      <c r="G59" s="730"/>
      <c r="H59" s="730"/>
      <c r="I59" s="713"/>
      <c r="J59" s="712"/>
      <c r="K59" s="712"/>
      <c r="L59" s="731"/>
      <c r="M59" s="730"/>
      <c r="N59" s="730"/>
      <c r="O59" s="713"/>
      <c r="P59" s="712"/>
      <c r="Q59" s="712"/>
      <c r="R59" s="731"/>
      <c r="S59" s="730"/>
      <c r="T59" s="730"/>
    </row>
    <row r="60" spans="1:20" ht="23.25" x14ac:dyDescent="0.25">
      <c r="A60" s="711">
        <v>47</v>
      </c>
      <c r="B60" s="729" t="s">
        <v>537</v>
      </c>
      <c r="C60" s="727"/>
      <c r="D60" s="712"/>
      <c r="E60" s="712"/>
      <c r="F60" s="737"/>
      <c r="G60" s="730"/>
      <c r="H60" s="730"/>
      <c r="I60" s="727"/>
      <c r="J60" s="712"/>
      <c r="K60" s="712"/>
      <c r="L60" s="737"/>
      <c r="M60" s="730"/>
      <c r="N60" s="730"/>
      <c r="O60" s="727"/>
      <c r="P60" s="712"/>
      <c r="Q60" s="712"/>
      <c r="R60" s="737"/>
      <c r="S60" s="730"/>
      <c r="T60" s="730"/>
    </row>
    <row r="61" spans="1:20" ht="23.25" x14ac:dyDescent="0.35">
      <c r="A61" s="711">
        <v>48</v>
      </c>
      <c r="B61" s="93" t="s">
        <v>319</v>
      </c>
      <c r="C61" s="713"/>
      <c r="D61" s="712"/>
      <c r="E61" s="712"/>
      <c r="F61" s="731"/>
      <c r="G61" s="730"/>
      <c r="H61" s="730"/>
      <c r="I61" s="713"/>
      <c r="J61" s="712"/>
      <c r="K61" s="712"/>
      <c r="L61" s="731"/>
      <c r="M61" s="730"/>
      <c r="N61" s="730"/>
      <c r="O61" s="713"/>
      <c r="P61" s="712"/>
      <c r="Q61" s="712"/>
      <c r="R61" s="731"/>
      <c r="S61" s="730"/>
      <c r="T61" s="730"/>
    </row>
    <row r="62" spans="1:20" ht="23.25" x14ac:dyDescent="0.35">
      <c r="A62" s="711">
        <v>49</v>
      </c>
      <c r="B62" s="93" t="s">
        <v>538</v>
      </c>
      <c r="C62" s="713"/>
      <c r="D62" s="712"/>
      <c r="E62" s="712"/>
      <c r="F62" s="731"/>
      <c r="G62" s="730"/>
      <c r="H62" s="730"/>
      <c r="I62" s="713"/>
      <c r="J62" s="712"/>
      <c r="K62" s="712"/>
      <c r="L62" s="731"/>
      <c r="M62" s="730"/>
      <c r="N62" s="730"/>
      <c r="O62" s="713"/>
      <c r="P62" s="712"/>
      <c r="Q62" s="712"/>
      <c r="R62" s="731"/>
      <c r="S62" s="730"/>
      <c r="T62" s="730"/>
    </row>
    <row r="63" spans="1:20" ht="18.75" x14ac:dyDescent="0.3">
      <c r="A63" s="1377" t="s">
        <v>50</v>
      </c>
      <c r="B63" s="1378"/>
      <c r="C63" s="738">
        <f>SUM(C6:C62)</f>
        <v>0</v>
      </c>
      <c r="D63" s="738">
        <f t="shared" ref="D63:E63" si="0">SUM(D6:D62)</f>
        <v>0</v>
      </c>
      <c r="E63" s="738">
        <f t="shared" si="0"/>
        <v>0</v>
      </c>
      <c r="F63" s="738">
        <f>SUM(F6:F62)</f>
        <v>0</v>
      </c>
      <c r="G63" s="738">
        <f t="shared" ref="G63:H63" si="1">SUM(G6:G62)</f>
        <v>0</v>
      </c>
      <c r="H63" s="738">
        <f t="shared" si="1"/>
        <v>0</v>
      </c>
      <c r="I63" s="738">
        <f>SUM(I6:I62)</f>
        <v>0</v>
      </c>
      <c r="J63" s="738">
        <f t="shared" ref="J63:K63" si="2">SUM(J6:J62)</f>
        <v>0</v>
      </c>
      <c r="K63" s="738">
        <f t="shared" si="2"/>
        <v>0</v>
      </c>
      <c r="L63" s="738">
        <f>SUM(L6:L62)</f>
        <v>345</v>
      </c>
      <c r="M63" s="738">
        <f t="shared" ref="M63:N63" si="3">SUM(M6:M62)</f>
        <v>345</v>
      </c>
      <c r="N63" s="738">
        <f t="shared" si="3"/>
        <v>0</v>
      </c>
      <c r="O63" s="738">
        <f>SUM(O6:O62)</f>
        <v>0</v>
      </c>
      <c r="P63" s="738">
        <f t="shared" ref="P63:Q63" si="4">SUM(P6:P62)</f>
        <v>0</v>
      </c>
      <c r="Q63" s="738">
        <f t="shared" si="4"/>
        <v>0</v>
      </c>
      <c r="R63" s="738">
        <f>SUM(R6:R62)</f>
        <v>0</v>
      </c>
      <c r="S63" s="738">
        <f t="shared" ref="S63:T63" si="5">SUM(S6:S62)</f>
        <v>0</v>
      </c>
      <c r="T63" s="738">
        <f t="shared" si="5"/>
        <v>0</v>
      </c>
    </row>
  </sheetData>
  <mergeCells count="16">
    <mergeCell ref="A63:B63"/>
    <mergeCell ref="C5:E5"/>
    <mergeCell ref="B3:B5"/>
    <mergeCell ref="A3:A5"/>
    <mergeCell ref="A1:T1"/>
    <mergeCell ref="O3:Q3"/>
    <mergeCell ref="O5:Q5"/>
    <mergeCell ref="R3:T3"/>
    <mergeCell ref="R5:T5"/>
    <mergeCell ref="F3:H3"/>
    <mergeCell ref="F5:H5"/>
    <mergeCell ref="I3:K3"/>
    <mergeCell ref="I5:K5"/>
    <mergeCell ref="L3:N3"/>
    <mergeCell ref="L5:N5"/>
    <mergeCell ref="C3:E3"/>
  </mergeCells>
  <pageMargins left="0.45" right="0.36" top="0.41" bottom="0.28000000000000003" header="0.3" footer="0.3"/>
  <pageSetup paperSize="9" scale="49" orientation="portrait" r:id="rId1"/>
  <rowBreaks count="1" manualBreakCount="1">
    <brk id="3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14" sqref="C14:H29"/>
    </sheetView>
  </sheetViews>
  <sheetFormatPr defaultRowHeight="15" x14ac:dyDescent="0.25"/>
  <cols>
    <col min="2" max="2" width="24.140625" customWidth="1"/>
    <col min="3" max="3" width="11.5703125" customWidth="1"/>
    <col min="4" max="4" width="14.42578125" customWidth="1"/>
    <col min="5" max="5" width="11.85546875" customWidth="1"/>
    <col min="6" max="6" width="15.85546875" customWidth="1"/>
    <col min="7" max="7" width="14.28515625" customWidth="1"/>
    <col min="8" max="8" width="14.140625" customWidth="1"/>
  </cols>
  <sheetData>
    <row r="1" spans="1:8" ht="34.5" x14ac:dyDescent="0.25">
      <c r="A1" s="1111" t="s">
        <v>0</v>
      </c>
      <c r="B1" s="1111"/>
      <c r="C1" s="1111"/>
      <c r="D1" s="1111"/>
      <c r="E1" s="1111"/>
      <c r="F1" s="1111"/>
      <c r="G1" s="1111"/>
      <c r="H1" s="1111"/>
    </row>
    <row r="2" spans="1:8" ht="27" x14ac:dyDescent="0.25">
      <c r="A2" s="1112" t="s">
        <v>1</v>
      </c>
      <c r="B2" s="1112"/>
      <c r="C2" s="1112"/>
      <c r="D2" s="1112"/>
      <c r="E2" s="1112"/>
      <c r="F2" s="1112"/>
      <c r="G2" s="1112"/>
      <c r="H2" s="1112"/>
    </row>
    <row r="3" spans="1:8" ht="25.5" x14ac:dyDescent="0.25">
      <c r="A3" s="1113" t="str">
        <f>'Major Minerals'!A3:H3</f>
        <v>Financial Year 2023-24</v>
      </c>
      <c r="B3" s="1113"/>
      <c r="C3" s="1113"/>
      <c r="D3" s="1113"/>
      <c r="E3" s="1113"/>
      <c r="F3" s="1113"/>
      <c r="G3" s="1113"/>
      <c r="H3" s="1113"/>
    </row>
    <row r="4" spans="1:8" ht="25.5" x14ac:dyDescent="0.25">
      <c r="A4" s="1114"/>
      <c r="B4" s="1114"/>
      <c r="C4" s="1114"/>
      <c r="D4" s="1114"/>
      <c r="E4" s="1114"/>
      <c r="F4" s="1114"/>
      <c r="G4" s="1114"/>
      <c r="H4" s="1114"/>
    </row>
    <row r="5" spans="1:8" ht="16.5" x14ac:dyDescent="0.25">
      <c r="A5" s="1109" t="s">
        <v>2</v>
      </c>
      <c r="B5" s="1107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x14ac:dyDescent="0.25">
      <c r="A6" s="1110"/>
      <c r="B6" s="1108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3.25" x14ac:dyDescent="0.35">
      <c r="A7" s="699" t="s">
        <v>14</v>
      </c>
      <c r="B7" s="700"/>
      <c r="C7" s="701"/>
      <c r="D7" s="701"/>
      <c r="E7" s="701"/>
      <c r="F7" s="701"/>
      <c r="G7" s="701"/>
      <c r="H7" s="701"/>
    </row>
    <row r="8" spans="1:8" ht="15.75" x14ac:dyDescent="0.25">
      <c r="A8" s="396">
        <v>1</v>
      </c>
      <c r="B8" s="397" t="s">
        <v>16</v>
      </c>
      <c r="C8" s="396"/>
      <c r="D8" s="398"/>
      <c r="E8" s="398"/>
      <c r="F8" s="398"/>
      <c r="G8" s="398"/>
      <c r="H8" s="396"/>
    </row>
    <row r="9" spans="1:8" ht="15.75" x14ac:dyDescent="0.25">
      <c r="A9" s="396">
        <v>2</v>
      </c>
      <c r="B9" s="397" t="s">
        <v>17</v>
      </c>
      <c r="C9" s="396"/>
      <c r="D9" s="398"/>
      <c r="E9" s="398"/>
      <c r="F9" s="398"/>
      <c r="G9" s="398"/>
      <c r="H9" s="396"/>
    </row>
    <row r="10" spans="1:8" ht="15.75" x14ac:dyDescent="0.25">
      <c r="A10" s="396">
        <v>3</v>
      </c>
      <c r="B10" s="397" t="s">
        <v>381</v>
      </c>
      <c r="C10" s="396"/>
      <c r="D10" s="396"/>
      <c r="E10" s="398"/>
      <c r="F10" s="400"/>
      <c r="G10" s="398"/>
      <c r="H10" s="396"/>
    </row>
    <row r="11" spans="1:8" ht="15.75" x14ac:dyDescent="0.25">
      <c r="A11" s="396">
        <v>4</v>
      </c>
      <c r="B11" s="397" t="s">
        <v>20</v>
      </c>
      <c r="C11" s="396"/>
      <c r="D11" s="398"/>
      <c r="E11" s="402"/>
      <c r="F11" s="398"/>
      <c r="G11" s="398"/>
      <c r="H11" s="396"/>
    </row>
    <row r="12" spans="1:8" ht="15.75" x14ac:dyDescent="0.25">
      <c r="A12" s="396">
        <v>5</v>
      </c>
      <c r="B12" s="397" t="s">
        <v>21</v>
      </c>
      <c r="C12" s="396"/>
      <c r="D12" s="398"/>
      <c r="E12" s="398"/>
      <c r="F12" s="398"/>
      <c r="G12" s="398"/>
      <c r="H12" s="396"/>
    </row>
    <row r="13" spans="1:8" ht="23.25" x14ac:dyDescent="0.25">
      <c r="A13" s="694" t="s">
        <v>22</v>
      </c>
      <c r="B13" s="695"/>
      <c r="C13" s="696"/>
      <c r="D13" s="697"/>
      <c r="E13" s="697"/>
      <c r="F13" s="697"/>
      <c r="G13" s="698"/>
      <c r="H13" s="698"/>
    </row>
    <row r="14" spans="1:8" ht="15.75" x14ac:dyDescent="0.25">
      <c r="A14" s="403">
        <v>6</v>
      </c>
      <c r="B14" s="397" t="s">
        <v>34</v>
      </c>
      <c r="C14" s="396"/>
      <c r="D14" s="398"/>
      <c r="E14" s="398"/>
      <c r="F14" s="398"/>
      <c r="G14" s="398"/>
      <c r="H14" s="396"/>
    </row>
    <row r="15" spans="1:8" ht="15.75" x14ac:dyDescent="0.25">
      <c r="A15" s="403">
        <v>7</v>
      </c>
      <c r="B15" s="397" t="s">
        <v>35</v>
      </c>
      <c r="C15" s="396"/>
      <c r="D15" s="398"/>
      <c r="E15" s="398"/>
      <c r="F15" s="398"/>
      <c r="G15" s="398"/>
      <c r="H15" s="396"/>
    </row>
    <row r="16" spans="1:8" ht="15.75" x14ac:dyDescent="0.25">
      <c r="A16" s="403">
        <v>8</v>
      </c>
      <c r="B16" s="397" t="s">
        <v>42</v>
      </c>
      <c r="C16" s="396"/>
      <c r="D16" s="398"/>
      <c r="E16" s="398"/>
      <c r="F16" s="398"/>
      <c r="G16" s="398"/>
      <c r="H16" s="396"/>
    </row>
    <row r="17" spans="1:8" ht="15.75" x14ac:dyDescent="0.25">
      <c r="A17" s="403">
        <v>9</v>
      </c>
      <c r="B17" s="397" t="s">
        <v>48</v>
      </c>
      <c r="C17" s="396"/>
      <c r="D17" s="398"/>
      <c r="E17" s="398"/>
      <c r="F17" s="398"/>
      <c r="G17" s="398"/>
      <c r="H17" s="396"/>
    </row>
    <row r="18" spans="1:8" ht="15.75" x14ac:dyDescent="0.25">
      <c r="A18" s="403">
        <v>10</v>
      </c>
      <c r="B18" s="397" t="s">
        <v>45</v>
      </c>
      <c r="C18" s="396"/>
      <c r="D18" s="398"/>
      <c r="E18" s="398"/>
      <c r="F18" s="398"/>
      <c r="G18" s="398"/>
      <c r="H18" s="396"/>
    </row>
    <row r="19" spans="1:8" ht="15.75" x14ac:dyDescent="0.25">
      <c r="A19" s="403">
        <v>11</v>
      </c>
      <c r="B19" s="405" t="s">
        <v>30</v>
      </c>
      <c r="C19" s="396"/>
      <c r="D19" s="398"/>
      <c r="E19" s="398"/>
      <c r="F19" s="398"/>
      <c r="G19" s="398"/>
      <c r="H19" s="396"/>
    </row>
    <row r="20" spans="1:8" ht="15.75" x14ac:dyDescent="0.25">
      <c r="A20" s="403">
        <v>12</v>
      </c>
      <c r="B20" s="397" t="s">
        <v>43</v>
      </c>
      <c r="C20" s="396"/>
      <c r="D20" s="398"/>
      <c r="E20" s="398"/>
      <c r="F20" s="398"/>
      <c r="G20" s="398"/>
      <c r="H20" s="396"/>
    </row>
    <row r="21" spans="1:8" ht="15.75" x14ac:dyDescent="0.25">
      <c r="A21" s="403">
        <v>13</v>
      </c>
      <c r="B21" s="397" t="s">
        <v>47</v>
      </c>
      <c r="C21" s="396"/>
      <c r="D21" s="398"/>
      <c r="E21" s="398"/>
      <c r="F21" s="398"/>
      <c r="G21" s="398"/>
      <c r="H21" s="396"/>
    </row>
    <row r="22" spans="1:8" ht="15.75" x14ac:dyDescent="0.25">
      <c r="A22" s="403">
        <v>14</v>
      </c>
      <c r="B22" s="397" t="s">
        <v>36</v>
      </c>
      <c r="C22" s="396"/>
      <c r="D22" s="398"/>
      <c r="E22" s="398"/>
      <c r="F22" s="398"/>
      <c r="G22" s="398"/>
      <c r="H22" s="396"/>
    </row>
    <row r="23" spans="1:8" ht="15.75" x14ac:dyDescent="0.25">
      <c r="A23" s="403">
        <v>15</v>
      </c>
      <c r="B23" s="641" t="s">
        <v>466</v>
      </c>
      <c r="C23" s="642"/>
      <c r="D23" s="642"/>
      <c r="E23" s="642"/>
      <c r="F23" s="642"/>
      <c r="G23" s="747"/>
      <c r="H23" s="642"/>
    </row>
    <row r="24" spans="1:8" ht="15.75" x14ac:dyDescent="0.25">
      <c r="A24" s="403">
        <v>16</v>
      </c>
      <c r="B24" s="404" t="s">
        <v>29</v>
      </c>
      <c r="C24" s="396"/>
      <c r="D24" s="398"/>
      <c r="E24" s="398"/>
      <c r="F24" s="398"/>
      <c r="G24" s="398"/>
      <c r="H24" s="396"/>
    </row>
    <row r="25" spans="1:8" ht="15.75" x14ac:dyDescent="0.25">
      <c r="A25" s="403">
        <v>17</v>
      </c>
      <c r="B25" s="641" t="s">
        <v>464</v>
      </c>
      <c r="C25" s="642"/>
      <c r="D25" s="642"/>
      <c r="E25" s="642"/>
      <c r="F25" s="642"/>
      <c r="G25" s="642"/>
      <c r="H25" s="642"/>
    </row>
    <row r="26" spans="1:8" ht="15.75" x14ac:dyDescent="0.25">
      <c r="A26" s="403">
        <v>18</v>
      </c>
      <c r="B26" s="397" t="s">
        <v>396</v>
      </c>
      <c r="C26" s="396"/>
      <c r="D26" s="396"/>
      <c r="E26" s="402"/>
      <c r="F26" s="402"/>
      <c r="G26" s="396"/>
      <c r="H26" s="396"/>
    </row>
    <row r="27" spans="1:8" ht="15.75" x14ac:dyDescent="0.25">
      <c r="A27" s="403">
        <v>19</v>
      </c>
      <c r="B27" s="397" t="s">
        <v>33</v>
      </c>
      <c r="C27" s="396"/>
      <c r="D27" s="398"/>
      <c r="E27" s="398"/>
      <c r="F27" s="398"/>
      <c r="G27" s="398"/>
      <c r="H27" s="396"/>
    </row>
    <row r="28" spans="1:8" ht="15.75" x14ac:dyDescent="0.25">
      <c r="A28" s="403">
        <v>20</v>
      </c>
      <c r="B28" s="641" t="s">
        <v>462</v>
      </c>
      <c r="C28" s="642"/>
      <c r="D28" s="642"/>
      <c r="E28" s="642"/>
      <c r="F28" s="642"/>
      <c r="G28" s="642"/>
      <c r="H28" s="642"/>
    </row>
    <row r="29" spans="1:8" ht="15.75" x14ac:dyDescent="0.25">
      <c r="A29" s="403"/>
      <c r="B29" s="397" t="s">
        <v>458</v>
      </c>
      <c r="C29" s="396"/>
      <c r="D29" s="396"/>
      <c r="E29" s="396"/>
      <c r="F29" s="396"/>
      <c r="G29" s="398"/>
      <c r="H29" s="396"/>
    </row>
    <row r="30" spans="1:8" ht="16.5" x14ac:dyDescent="0.25">
      <c r="A30" s="692"/>
      <c r="B30" s="692" t="s">
        <v>50</v>
      </c>
      <c r="C30" s="692">
        <f t="shared" ref="C30:H30" si="0">SUM(C8:C29)</f>
        <v>0</v>
      </c>
      <c r="D30" s="693">
        <f t="shared" si="0"/>
        <v>0</v>
      </c>
      <c r="E30" s="693">
        <f t="shared" si="0"/>
        <v>0</v>
      </c>
      <c r="F30" s="693">
        <f t="shared" si="0"/>
        <v>0</v>
      </c>
      <c r="G30" s="693">
        <f t="shared" si="0"/>
        <v>0</v>
      </c>
      <c r="H30" s="692">
        <f t="shared" si="0"/>
        <v>0</v>
      </c>
    </row>
  </sheetData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9" zoomScaleSheetLayoutView="100" workbookViewId="0">
      <selection activeCell="H46" sqref="H46"/>
    </sheetView>
  </sheetViews>
  <sheetFormatPr defaultRowHeight="15" x14ac:dyDescent="0.25"/>
  <cols>
    <col min="1" max="1" width="7.5703125" customWidth="1"/>
    <col min="2" max="2" width="28.28515625" customWidth="1"/>
    <col min="3" max="3" width="10" customWidth="1"/>
    <col min="4" max="4" width="13.28515625" customWidth="1"/>
    <col min="5" max="5" width="12.85546875" customWidth="1"/>
    <col min="6" max="6" width="15.5703125" customWidth="1"/>
    <col min="7" max="7" width="17.28515625" customWidth="1"/>
    <col min="8" max="8" width="14.5703125" customWidth="1"/>
  </cols>
  <sheetData>
    <row r="1" spans="1:11" ht="34.5" x14ac:dyDescent="0.25">
      <c r="A1" s="1115" t="s">
        <v>0</v>
      </c>
      <c r="B1" s="1115"/>
      <c r="C1" s="1115"/>
      <c r="D1" s="1115"/>
      <c r="E1" s="1115"/>
      <c r="F1" s="1115"/>
      <c r="G1" s="1115"/>
      <c r="H1" s="1115"/>
    </row>
    <row r="2" spans="1:11" ht="27" x14ac:dyDescent="0.25">
      <c r="A2" s="1116" t="s">
        <v>51</v>
      </c>
      <c r="B2" s="1116"/>
      <c r="C2" s="1116"/>
      <c r="D2" s="1116"/>
      <c r="E2" s="1116"/>
      <c r="F2" s="1116"/>
      <c r="G2" s="1116"/>
      <c r="H2" s="1116"/>
    </row>
    <row r="3" spans="1:11" ht="31.5" customHeight="1" x14ac:dyDescent="0.25">
      <c r="A3" s="1113" t="str">
        <f>'Major Front'!A3:H3</f>
        <v>Financial Year 2023-24</v>
      </c>
      <c r="B3" s="1113"/>
      <c r="C3" s="1113"/>
      <c r="D3" s="1113"/>
      <c r="E3" s="1113"/>
      <c r="F3" s="1113"/>
      <c r="G3" s="1113"/>
      <c r="H3" s="1113"/>
    </row>
    <row r="4" spans="1:11" ht="25.5" x14ac:dyDescent="0.25">
      <c r="A4" s="1114"/>
      <c r="B4" s="1114"/>
      <c r="C4" s="1114"/>
      <c r="D4" s="1114"/>
      <c r="E4" s="1114"/>
      <c r="F4" s="1114"/>
      <c r="G4" s="1114"/>
      <c r="H4" s="1114"/>
    </row>
    <row r="5" spans="1:11" ht="16.5" x14ac:dyDescent="0.25">
      <c r="A5" s="1117" t="s">
        <v>2</v>
      </c>
      <c r="B5" s="1119" t="s">
        <v>3</v>
      </c>
      <c r="C5" s="690" t="s">
        <v>4</v>
      </c>
      <c r="D5" s="690" t="s">
        <v>5</v>
      </c>
      <c r="E5" s="690" t="s">
        <v>6</v>
      </c>
      <c r="F5" s="690" t="s">
        <v>7</v>
      </c>
      <c r="G5" s="690" t="s">
        <v>8</v>
      </c>
      <c r="H5" s="690" t="s">
        <v>9</v>
      </c>
    </row>
    <row r="6" spans="1:11" ht="15.75" x14ac:dyDescent="0.25">
      <c r="A6" s="1118"/>
      <c r="B6" s="1120"/>
      <c r="C6" s="691" t="s">
        <v>10</v>
      </c>
      <c r="D6" s="691" t="s">
        <v>52</v>
      </c>
      <c r="E6" s="691" t="s">
        <v>436</v>
      </c>
      <c r="F6" s="691" t="s">
        <v>434</v>
      </c>
      <c r="G6" s="691" t="s">
        <v>433</v>
      </c>
      <c r="H6" s="691" t="s">
        <v>13</v>
      </c>
    </row>
    <row r="7" spans="1:11" s="399" customFormat="1" ht="17.100000000000001" customHeight="1" x14ac:dyDescent="0.25">
      <c r="A7" s="766">
        <v>1</v>
      </c>
      <c r="B7" s="803" t="s">
        <v>23</v>
      </c>
      <c r="C7" s="772">
        <f>'Minor Minerals'!C11</f>
        <v>214</v>
      </c>
      <c r="D7" s="773">
        <f>'Minor Minerals'!D11</f>
        <v>5443.13</v>
      </c>
      <c r="E7" s="773">
        <f>'Minor Minerals'!E11/100000</f>
        <v>81.078949100000003</v>
      </c>
      <c r="F7" s="773">
        <f>'Minor Minerals'!F11/10000000</f>
        <v>567.55178803999991</v>
      </c>
      <c r="G7" s="773">
        <f>'Minor Minerals'!G11/100000</f>
        <v>6494.9935299999997</v>
      </c>
      <c r="H7" s="772">
        <f>'Minor Minerals'!H11</f>
        <v>1111</v>
      </c>
      <c r="K7" s="401"/>
    </row>
    <row r="8" spans="1:11" s="399" customFormat="1" ht="17.100000000000001" customHeight="1" x14ac:dyDescent="0.25">
      <c r="A8" s="766">
        <v>2</v>
      </c>
      <c r="B8" s="803" t="s">
        <v>24</v>
      </c>
      <c r="C8" s="772">
        <f>'Minor Minerals'!C18</f>
        <v>1</v>
      </c>
      <c r="D8" s="773">
        <f>'Minor Minerals'!D18</f>
        <v>31</v>
      </c>
      <c r="E8" s="773">
        <f>'Minor Minerals'!E18/100000</f>
        <v>6.0019999999999997E-2</v>
      </c>
      <c r="F8" s="773">
        <f>'Minor Minerals'!F18/10000000</f>
        <v>0.78025999999999995</v>
      </c>
      <c r="G8" s="773">
        <f>'Minor Minerals'!G18/100000</f>
        <v>7.5526</v>
      </c>
      <c r="H8" s="772">
        <f>'Minor Minerals'!H18</f>
        <v>9</v>
      </c>
      <c r="K8" s="401"/>
    </row>
    <row r="9" spans="1:11" s="399" customFormat="1" ht="17.100000000000001" customHeight="1" x14ac:dyDescent="0.25">
      <c r="A9" s="766">
        <v>3</v>
      </c>
      <c r="B9" s="803" t="s">
        <v>53</v>
      </c>
      <c r="C9" s="774">
        <f>'Minor Minerals'!C26</f>
        <v>48</v>
      </c>
      <c r="D9" s="767">
        <f>'Minor Minerals'!D26</f>
        <v>103.13999999999999</v>
      </c>
      <c r="E9" s="767">
        <f>'Minor Minerals'!E26/100000</f>
        <v>4.5567200000000003</v>
      </c>
      <c r="F9" s="767">
        <f>'Minor Minerals'!F26/10000000</f>
        <v>29.630375399999998</v>
      </c>
      <c r="G9" s="767">
        <f>'Minor Minerals'!G26/100000</f>
        <v>913.25959</v>
      </c>
      <c r="H9" s="774">
        <f>'Minor Minerals'!H26</f>
        <v>365</v>
      </c>
      <c r="K9" s="401"/>
    </row>
    <row r="10" spans="1:11" s="399" customFormat="1" ht="17.100000000000001" customHeight="1" x14ac:dyDescent="0.25">
      <c r="A10" s="766">
        <v>4</v>
      </c>
      <c r="B10" s="803" t="s">
        <v>54</v>
      </c>
      <c r="C10" s="774">
        <f>'Minor Minerals'!C56</f>
        <v>38</v>
      </c>
      <c r="D10" s="767">
        <f>'Minor Minerals'!D56</f>
        <v>511.61</v>
      </c>
      <c r="E10" s="767">
        <f>'Minor Minerals'!E56/100000</f>
        <v>142.22085671209678</v>
      </c>
      <c r="F10" s="767">
        <f>'Minor Minerals'!F56/10000000</f>
        <v>324.12704997540322</v>
      </c>
      <c r="G10" s="767">
        <f>'Minor Minerals'!G56/100000</f>
        <v>4993.6586799999995</v>
      </c>
      <c r="H10" s="774">
        <f>'Minor Minerals'!H56</f>
        <v>16544</v>
      </c>
      <c r="K10" s="401"/>
    </row>
    <row r="11" spans="1:11" s="399" customFormat="1" ht="17.100000000000001" customHeight="1" x14ac:dyDescent="0.25">
      <c r="A11" s="766">
        <v>5</v>
      </c>
      <c r="B11" s="803" t="s">
        <v>25</v>
      </c>
      <c r="C11" s="774">
        <f>'Minor Minerals'!C70</f>
        <v>36</v>
      </c>
      <c r="D11" s="767">
        <f>'Minor Minerals'!D70</f>
        <v>530.72749999999996</v>
      </c>
      <c r="E11" s="767">
        <f>'Minor Minerals'!E70/100000</f>
        <v>0.94517739622641506</v>
      </c>
      <c r="F11" s="767">
        <f>'Minor Minerals'!F70/10000000</f>
        <v>8.0340878315647242</v>
      </c>
      <c r="G11" s="767">
        <f>'Minor Minerals'!G70/100000</f>
        <v>204.71601999999999</v>
      </c>
      <c r="H11" s="774">
        <f>'Minor Minerals'!H70</f>
        <v>264</v>
      </c>
      <c r="K11" s="401"/>
    </row>
    <row r="12" spans="1:11" s="399" customFormat="1" ht="17.100000000000001" customHeight="1" x14ac:dyDescent="0.25">
      <c r="A12" s="766">
        <v>6</v>
      </c>
      <c r="B12" s="803" t="s">
        <v>26</v>
      </c>
      <c r="C12" s="774">
        <f>'Minor Minerals'!C90</f>
        <v>476</v>
      </c>
      <c r="D12" s="767">
        <f>'Minor Minerals'!D90</f>
        <v>4677.0889999999999</v>
      </c>
      <c r="E12" s="767">
        <f>'Minor Minerals'!E90/100000</f>
        <v>59.3319799</v>
      </c>
      <c r="F12" s="767">
        <f>'Minor Minerals'!F90/10000000</f>
        <v>260.36169385429963</v>
      </c>
      <c r="G12" s="767">
        <f>'Minor Minerals'!G90/100000</f>
        <v>3463.6855799999998</v>
      </c>
      <c r="H12" s="774">
        <f>'Minor Minerals'!H90</f>
        <v>2864</v>
      </c>
      <c r="K12" s="401"/>
    </row>
    <row r="13" spans="1:11" s="399" customFormat="1" ht="17.100000000000001" customHeight="1" x14ac:dyDescent="0.25">
      <c r="A13" s="766">
        <v>7</v>
      </c>
      <c r="B13" s="803" t="s">
        <v>55</v>
      </c>
      <c r="C13" s="774">
        <f>'Minor Minerals'!C97</f>
        <v>1</v>
      </c>
      <c r="D13" s="767">
        <f>'Minor Minerals'!D97</f>
        <v>0.71</v>
      </c>
      <c r="E13" s="767">
        <f>'Minor Minerals'!E97/100000</f>
        <v>1.9599999999999999E-3</v>
      </c>
      <c r="F13" s="767">
        <f>'Minor Minerals'!F97/10000000</f>
        <v>2.4153999999999998E-3</v>
      </c>
      <c r="G13" s="767">
        <f>'Minor Minerals'!G97/100000</f>
        <v>0.21565999999999999</v>
      </c>
      <c r="H13" s="774">
        <f>'Minor Minerals'!H97</f>
        <v>5</v>
      </c>
      <c r="K13" s="401"/>
    </row>
    <row r="14" spans="1:11" s="399" customFormat="1" ht="17.100000000000001" customHeight="1" x14ac:dyDescent="0.25">
      <c r="A14" s="766">
        <v>8</v>
      </c>
      <c r="B14" s="803" t="s">
        <v>56</v>
      </c>
      <c r="C14" s="774">
        <f>'Minor Minerals'!C104</f>
        <v>32</v>
      </c>
      <c r="D14" s="767">
        <f>'Minor Minerals'!D104</f>
        <v>35.130000000000003</v>
      </c>
      <c r="E14" s="767">
        <f>'Minor Minerals'!E104/100000</f>
        <v>0.64531000000000005</v>
      </c>
      <c r="F14" s="767">
        <f>'Minor Minerals'!F104/10000000</f>
        <v>6.7585139999999999</v>
      </c>
      <c r="G14" s="767">
        <f>'Minor Minerals'!G104/100000</f>
        <v>114.37869999999999</v>
      </c>
      <c r="H14" s="774">
        <f>'Minor Minerals'!H104</f>
        <v>180</v>
      </c>
      <c r="K14" s="401"/>
    </row>
    <row r="15" spans="1:11" s="399" customFormat="1" ht="17.100000000000001" customHeight="1" x14ac:dyDescent="0.25">
      <c r="A15" s="766">
        <v>9</v>
      </c>
      <c r="B15" s="803" t="s">
        <v>27</v>
      </c>
      <c r="C15" s="774">
        <f>'Minor Minerals'!C118</f>
        <v>57</v>
      </c>
      <c r="D15" s="767">
        <f>'Minor Minerals'!D118</f>
        <v>1649.16</v>
      </c>
      <c r="E15" s="767">
        <f>'Minor Minerals'!E118/100000</f>
        <v>20.427769300000001</v>
      </c>
      <c r="F15" s="767">
        <f>'Minor Minerals'!F118/10000000</f>
        <v>323.4958067</v>
      </c>
      <c r="G15" s="767">
        <f>'Minor Minerals'!G118/100000</f>
        <v>1675.5133418</v>
      </c>
      <c r="H15" s="774">
        <f>'Minor Minerals'!H118</f>
        <v>632</v>
      </c>
      <c r="K15" s="401"/>
    </row>
    <row r="16" spans="1:11" s="399" customFormat="1" ht="17.100000000000001" customHeight="1" x14ac:dyDescent="0.25">
      <c r="A16" s="766">
        <v>10</v>
      </c>
      <c r="B16" s="803" t="s">
        <v>41</v>
      </c>
      <c r="C16" s="774">
        <f>'Minor Minerals'!C139</f>
        <v>2055</v>
      </c>
      <c r="D16" s="767">
        <f>'Minor Minerals'!D139</f>
        <v>27173.141799999998</v>
      </c>
      <c r="E16" s="767">
        <f>'Minor Minerals'!E139/100000</f>
        <v>152.30569</v>
      </c>
      <c r="F16" s="767">
        <f>'Minor Minerals'!F139/10000000</f>
        <v>845.38531339007454</v>
      </c>
      <c r="G16" s="767">
        <f>'Minor Minerals'!G139/100000</f>
        <v>13390.29155</v>
      </c>
      <c r="H16" s="774">
        <f>'Minor Minerals'!H139</f>
        <v>8687</v>
      </c>
      <c r="K16" s="401"/>
    </row>
    <row r="17" spans="1:11" s="399" customFormat="1" ht="17.100000000000001" customHeight="1" x14ac:dyDescent="0.25">
      <c r="A17" s="766">
        <v>11</v>
      </c>
      <c r="B17" s="803" t="s">
        <v>28</v>
      </c>
      <c r="C17" s="774">
        <f>'Minor Minerals'!C146</f>
        <v>3</v>
      </c>
      <c r="D17" s="767">
        <f>'Minor Minerals'!D146</f>
        <v>59.987299999999998</v>
      </c>
      <c r="E17" s="767">
        <f>'Minor Minerals'!E146/100000</f>
        <v>7.4999999999999997E-3</v>
      </c>
      <c r="F17" s="767">
        <f>'Minor Minerals'!F146/10000000</f>
        <v>6.3750000000000001E-2</v>
      </c>
      <c r="G17" s="767">
        <f>'Minor Minerals'!G146/100000</f>
        <v>0.6</v>
      </c>
      <c r="H17" s="774">
        <f>'Minor Minerals'!H146</f>
        <v>40</v>
      </c>
      <c r="K17" s="401"/>
    </row>
    <row r="18" spans="1:11" s="399" customFormat="1" ht="17.100000000000001" customHeight="1" x14ac:dyDescent="0.25">
      <c r="A18" s="766">
        <v>12</v>
      </c>
      <c r="B18" s="803" t="s">
        <v>57</v>
      </c>
      <c r="C18" s="774">
        <f>'Minor Minerals'!C157</f>
        <v>17</v>
      </c>
      <c r="D18" s="767">
        <f>'Minor Minerals'!D157</f>
        <v>198.42999999999998</v>
      </c>
      <c r="E18" s="767">
        <f>'Minor Minerals'!E157/100000</f>
        <v>0.23561000000000001</v>
      </c>
      <c r="F18" s="767">
        <f>'Minor Minerals'!F157/10000000</f>
        <v>1.4687356</v>
      </c>
      <c r="G18" s="767">
        <f>'Minor Minerals'!G157/100000</f>
        <v>51.219529999999999</v>
      </c>
      <c r="H18" s="774">
        <f>'Minor Minerals'!H157</f>
        <v>36</v>
      </c>
      <c r="K18" s="401"/>
    </row>
    <row r="19" spans="1:11" s="399" customFormat="1" ht="17.100000000000001" customHeight="1" x14ac:dyDescent="0.25">
      <c r="A19" s="766">
        <v>13</v>
      </c>
      <c r="B19" s="803" t="s">
        <v>32</v>
      </c>
      <c r="C19" s="774">
        <f>'Minor Minerals'!C165</f>
        <v>1</v>
      </c>
      <c r="D19" s="767">
        <f>'Minor Minerals'!D165</f>
        <v>24.5</v>
      </c>
      <c r="E19" s="767">
        <f>'Minor Minerals'!E165/100000</f>
        <v>4.1799999999999997E-3</v>
      </c>
      <c r="F19" s="767">
        <f>'Minor Minerals'!F165/10000000</f>
        <v>1.0449999999999999E-2</v>
      </c>
      <c r="G19" s="767">
        <f>'Minor Minerals'!G165/100000</f>
        <v>0.12562999999999999</v>
      </c>
      <c r="H19" s="774">
        <f>'Minor Minerals'!H165</f>
        <v>4</v>
      </c>
      <c r="K19" s="401"/>
    </row>
    <row r="20" spans="1:11" s="399" customFormat="1" ht="17.100000000000001" customHeight="1" x14ac:dyDescent="0.25">
      <c r="A20" s="766">
        <v>14</v>
      </c>
      <c r="B20" s="803" t="s">
        <v>58</v>
      </c>
      <c r="C20" s="774">
        <f>'Minor Minerals'!C199</f>
        <v>2422</v>
      </c>
      <c r="D20" s="767">
        <f>'Minor Minerals'!D199</f>
        <v>5058.7700000000013</v>
      </c>
      <c r="E20" s="767">
        <f>'Minor Minerals'!E199/100000</f>
        <v>109.06415589354837</v>
      </c>
      <c r="F20" s="767">
        <f>'Minor Minerals'!F199/10000000</f>
        <v>2330.2929007612902</v>
      </c>
      <c r="G20" s="767">
        <f>'Minor Minerals'!G199/100000</f>
        <v>33310.565150000002</v>
      </c>
      <c r="H20" s="774">
        <f>'Minor Minerals'!H199</f>
        <v>13929</v>
      </c>
      <c r="K20" s="401"/>
    </row>
    <row r="21" spans="1:11" s="399" customFormat="1" ht="17.100000000000001" customHeight="1" x14ac:dyDescent="0.25">
      <c r="A21" s="766">
        <v>15</v>
      </c>
      <c r="B21" s="803" t="s">
        <v>31</v>
      </c>
      <c r="C21" s="774">
        <f>'Minor Minerals'!C213</f>
        <v>132</v>
      </c>
      <c r="D21" s="767">
        <f>'Minor Minerals'!D213</f>
        <v>9252.49</v>
      </c>
      <c r="E21" s="767">
        <f>'Minor Minerals'!E213/100000</f>
        <v>67.122087899999997</v>
      </c>
      <c r="F21" s="767">
        <f>'Minor Minerals'!F213/10000000</f>
        <v>486.38915721000006</v>
      </c>
      <c r="G21" s="767">
        <f>'Minor Minerals'!G213/100000</f>
        <v>12603.65963</v>
      </c>
      <c r="H21" s="774">
        <f>'Minor Minerals'!H213</f>
        <v>1485</v>
      </c>
      <c r="K21" s="401"/>
    </row>
    <row r="22" spans="1:11" s="399" customFormat="1" ht="17.100000000000001" customHeight="1" x14ac:dyDescent="0.25">
      <c r="A22" s="766">
        <v>16</v>
      </c>
      <c r="B22" s="803" t="s">
        <v>399</v>
      </c>
      <c r="C22" s="774">
        <f>'Minor Minerals'!C220</f>
        <v>4</v>
      </c>
      <c r="D22" s="767">
        <f>'Minor Minerals'!D220</f>
        <v>13.865399999999999</v>
      </c>
      <c r="E22" s="767">
        <f>'Minor Minerals'!E220/100000</f>
        <v>0.62227520000000003</v>
      </c>
      <c r="F22" s="767">
        <f>'Minor Minerals'!F220/10000000</f>
        <v>2.3024681999999999</v>
      </c>
      <c r="G22" s="767">
        <f>'Minor Minerals'!G220/100000</f>
        <v>10.505229999999999</v>
      </c>
      <c r="H22" s="774">
        <f>'Minor Minerals'!H220</f>
        <v>105</v>
      </c>
      <c r="K22" s="401"/>
    </row>
    <row r="23" spans="1:11" s="399" customFormat="1" ht="17.100000000000001" customHeight="1" x14ac:dyDescent="0.25">
      <c r="A23" s="766">
        <v>17</v>
      </c>
      <c r="B23" s="803" t="s">
        <v>59</v>
      </c>
      <c r="C23" s="774">
        <f>'Minor Minerals'!C267</f>
        <v>166</v>
      </c>
      <c r="D23" s="767">
        <f>'Minor Minerals'!D267</f>
        <v>65555.348799999992</v>
      </c>
      <c r="E23" s="767">
        <f>'Minor Minerals'!E267/100000</f>
        <v>249.29373481111108</v>
      </c>
      <c r="F23" s="767">
        <f>'Minor Minerals'!F267/10000000</f>
        <v>1285.643510261111</v>
      </c>
      <c r="G23" s="767">
        <f>'Minor Minerals'!G267/100000</f>
        <v>18842.893715999999</v>
      </c>
      <c r="H23" s="774">
        <f>'Minor Minerals'!H267</f>
        <v>4255</v>
      </c>
      <c r="K23" s="401"/>
    </row>
    <row r="24" spans="1:11" s="399" customFormat="1" ht="17.100000000000001" customHeight="1" x14ac:dyDescent="0.25">
      <c r="A24" s="766">
        <v>18</v>
      </c>
      <c r="B24" s="803" t="s">
        <v>60</v>
      </c>
      <c r="C24" s="774">
        <f>'Minor Minerals'!C293</f>
        <v>473</v>
      </c>
      <c r="D24" s="767">
        <f>'Minor Minerals'!D293</f>
        <v>11164.849999999999</v>
      </c>
      <c r="E24" s="767">
        <f>'Minor Minerals'!E293/100000</f>
        <v>176.56251929999999</v>
      </c>
      <c r="F24" s="767">
        <f>'Minor Minerals'!F293/10000000</f>
        <v>638.14798180000003</v>
      </c>
      <c r="G24" s="767">
        <f>'Minor Minerals'!G293/100000</f>
        <v>17977.564111199998</v>
      </c>
      <c r="H24" s="774">
        <f>'Minor Minerals'!H293</f>
        <v>4790</v>
      </c>
      <c r="K24" s="401"/>
    </row>
    <row r="25" spans="1:11" s="399" customFormat="1" ht="17.100000000000001" customHeight="1" x14ac:dyDescent="0.25">
      <c r="A25" s="766">
        <v>19</v>
      </c>
      <c r="B25" s="803" t="s">
        <v>61</v>
      </c>
      <c r="C25" s="774">
        <f>'Minor Minerals'!C306</f>
        <v>325</v>
      </c>
      <c r="D25" s="767">
        <f>'Minor Minerals'!D306</f>
        <v>668.17000000000007</v>
      </c>
      <c r="E25" s="767">
        <f>'Minor Minerals'!E306/100000</f>
        <v>24.739757599999997</v>
      </c>
      <c r="F25" s="767">
        <f>'Minor Minerals'!F306/10000000</f>
        <v>273.45188880000001</v>
      </c>
      <c r="G25" s="767">
        <f>'Minor Minerals'!G306/100000</f>
        <v>6777.6734800000004</v>
      </c>
      <c r="H25" s="774">
        <f>'Minor Minerals'!H306</f>
        <v>3943</v>
      </c>
      <c r="K25" s="401"/>
    </row>
    <row r="26" spans="1:11" s="399" customFormat="1" ht="17.100000000000001" customHeight="1" x14ac:dyDescent="0.25">
      <c r="A26" s="766">
        <v>20</v>
      </c>
      <c r="B26" s="803" t="s">
        <v>62</v>
      </c>
      <c r="C26" s="774">
        <f>'Minor Minerals'!C339</f>
        <v>1683</v>
      </c>
      <c r="D26" s="767">
        <f>'Minor Minerals'!D339</f>
        <v>2894.2678000000005</v>
      </c>
      <c r="E26" s="767">
        <f>'Minor Minerals'!E339/100000</f>
        <v>121.8956324</v>
      </c>
      <c r="F26" s="767">
        <f>'Minor Minerals'!F339/10000000</f>
        <v>2315.2765325999999</v>
      </c>
      <c r="G26" s="767">
        <f>'Minor Minerals'!G339/100000</f>
        <v>30787.663909999999</v>
      </c>
      <c r="H26" s="774">
        <f>'Minor Minerals'!H339</f>
        <v>25936</v>
      </c>
      <c r="K26" s="401"/>
    </row>
    <row r="27" spans="1:11" s="399" customFormat="1" ht="17.100000000000001" customHeight="1" x14ac:dyDescent="0.25">
      <c r="A27" s="766">
        <v>21</v>
      </c>
      <c r="B27" s="803" t="s">
        <v>63</v>
      </c>
      <c r="C27" s="774">
        <f>'Minor Minerals'!C390</f>
        <v>6093</v>
      </c>
      <c r="D27" s="767">
        <f>'Minor Minerals'!D390</f>
        <v>6964.3207999999986</v>
      </c>
      <c r="E27" s="767">
        <f>'Minor Minerals'!E390/100000</f>
        <v>1531.3287037999999</v>
      </c>
      <c r="F27" s="767">
        <f>'Minor Minerals'!F390/10000000</f>
        <v>3167.7843228460538</v>
      </c>
      <c r="G27" s="767">
        <f>'Minor Minerals'!G390/100000</f>
        <v>65961.078145000007</v>
      </c>
      <c r="H27" s="774">
        <f>'Minor Minerals'!H390</f>
        <v>61990</v>
      </c>
      <c r="K27" s="401"/>
    </row>
    <row r="28" spans="1:11" s="399" customFormat="1" ht="17.100000000000001" customHeight="1" x14ac:dyDescent="0.25">
      <c r="A28" s="766">
        <v>22</v>
      </c>
      <c r="B28" s="803" t="s">
        <v>37</v>
      </c>
      <c r="C28" s="774">
        <f>'Minor Minerals'!C401</f>
        <v>45</v>
      </c>
      <c r="D28" s="767">
        <f>'Minor Minerals'!D401</f>
        <v>233.60999999999999</v>
      </c>
      <c r="E28" s="767">
        <f>'Minor Minerals'!E401/100000</f>
        <v>0.23891999999999999</v>
      </c>
      <c r="F28" s="767">
        <f>'Minor Minerals'!F401/10000000</f>
        <v>4.5776399999999997</v>
      </c>
      <c r="G28" s="767">
        <f>'Minor Minerals'!G401/100000</f>
        <v>534.27850999999998</v>
      </c>
      <c r="H28" s="774">
        <f>'Minor Minerals'!H401</f>
        <v>310</v>
      </c>
      <c r="K28" s="401"/>
    </row>
    <row r="29" spans="1:11" s="399" customFormat="1" ht="17.100000000000001" customHeight="1" x14ac:dyDescent="0.25">
      <c r="A29" s="766">
        <v>23</v>
      </c>
      <c r="B29" s="803" t="s">
        <v>64</v>
      </c>
      <c r="C29" s="774">
        <f>'Minor Minerals'!C408</f>
        <v>4</v>
      </c>
      <c r="D29" s="767">
        <f>'Minor Minerals'!D408</f>
        <v>972.17000000000007</v>
      </c>
      <c r="E29" s="767">
        <f>'Minor Minerals'!E408/100000</f>
        <v>0</v>
      </c>
      <c r="F29" s="767">
        <f>'Minor Minerals'!F408/10000000</f>
        <v>0</v>
      </c>
      <c r="G29" s="767">
        <f>'Minor Minerals'!G408/100000</f>
        <v>0</v>
      </c>
      <c r="H29" s="774">
        <f>'Minor Minerals'!H408</f>
        <v>0</v>
      </c>
      <c r="K29" s="401"/>
    </row>
    <row r="30" spans="1:11" s="399" customFormat="1" ht="17.100000000000001" customHeight="1" x14ac:dyDescent="0.25">
      <c r="A30" s="766">
        <v>24</v>
      </c>
      <c r="B30" s="803" t="s">
        <v>65</v>
      </c>
      <c r="C30" s="774">
        <f>'Minor Minerals'!C435</f>
        <v>8</v>
      </c>
      <c r="D30" s="767">
        <f>'Minor Minerals'!D435</f>
        <v>7</v>
      </c>
      <c r="E30" s="767">
        <f>'Minor Minerals'!E435/100000</f>
        <v>237.78011686000002</v>
      </c>
      <c r="F30" s="767">
        <f>'Minor Minerals'!F435/10000000</f>
        <v>64.934157646200006</v>
      </c>
      <c r="G30" s="767">
        <f>'Minor Minerals'!G435/100000</f>
        <v>1429.32627</v>
      </c>
      <c r="H30" s="774">
        <f>'Minor Minerals'!H435</f>
        <v>4203</v>
      </c>
      <c r="K30" s="401"/>
    </row>
    <row r="31" spans="1:11" s="399" customFormat="1" ht="17.100000000000001" customHeight="1" x14ac:dyDescent="0.25">
      <c r="A31" s="766">
        <v>25</v>
      </c>
      <c r="B31" s="803" t="s">
        <v>66</v>
      </c>
      <c r="C31" s="774">
        <f>'Minor Minerals'!C452</f>
        <v>26</v>
      </c>
      <c r="D31" s="767">
        <f>'Minor Minerals'!D452</f>
        <v>33</v>
      </c>
      <c r="E31" s="767">
        <f>'Minor Minerals'!E452/100000</f>
        <v>5.7129579000000001</v>
      </c>
      <c r="F31" s="767">
        <f>'Minor Minerals'!F452/10000000</f>
        <v>11.83363012</v>
      </c>
      <c r="G31" s="767">
        <f>'Minor Minerals'!G452/100000</f>
        <v>182.37182000000001</v>
      </c>
      <c r="H31" s="774">
        <f>'Minor Minerals'!H452</f>
        <v>300</v>
      </c>
      <c r="K31" s="401"/>
    </row>
    <row r="32" spans="1:11" s="399" customFormat="1" ht="17.100000000000001" customHeight="1" x14ac:dyDescent="0.25">
      <c r="A32" s="766">
        <v>26</v>
      </c>
      <c r="B32" s="803" t="s">
        <v>38</v>
      </c>
      <c r="C32" s="774">
        <f>'Minor Minerals'!C470</f>
        <v>124</v>
      </c>
      <c r="D32" s="767">
        <f>'Minor Minerals'!D470</f>
        <v>1167.9943999999998</v>
      </c>
      <c r="E32" s="767">
        <f>'Minor Minerals'!E470/100000</f>
        <v>35.128495200000003</v>
      </c>
      <c r="F32" s="767">
        <f>'Minor Minerals'!F470/10000000</f>
        <v>90.788613379340731</v>
      </c>
      <c r="G32" s="767">
        <f>'Minor Minerals'!G470/100000</f>
        <v>1205.3330100000001</v>
      </c>
      <c r="H32" s="774">
        <f>'Minor Minerals'!H470</f>
        <v>2969</v>
      </c>
      <c r="K32" s="401"/>
    </row>
    <row r="33" spans="1:11" s="399" customFormat="1" ht="17.100000000000001" customHeight="1" x14ac:dyDescent="0.25">
      <c r="A33" s="766">
        <v>27</v>
      </c>
      <c r="B33" s="803" t="s">
        <v>67</v>
      </c>
      <c r="C33" s="774">
        <f>'Minor Minerals'!C489</f>
        <v>62</v>
      </c>
      <c r="D33" s="767">
        <f>'Minor Minerals'!D489</f>
        <v>1031.4100000000001</v>
      </c>
      <c r="E33" s="767">
        <f>'Minor Minerals'!E489/100000</f>
        <v>9.0997962000000001</v>
      </c>
      <c r="F33" s="767">
        <f>'Minor Minerals'!F489/10000000</f>
        <v>60.395637100000002</v>
      </c>
      <c r="G33" s="767">
        <f>'Minor Minerals'!G489/100000</f>
        <v>1280.0789</v>
      </c>
      <c r="H33" s="774">
        <f>'Minor Minerals'!H489</f>
        <v>1855</v>
      </c>
      <c r="K33" s="401"/>
    </row>
    <row r="34" spans="1:11" s="399" customFormat="1" ht="17.100000000000001" customHeight="1" x14ac:dyDescent="0.25">
      <c r="A34" s="766">
        <v>28</v>
      </c>
      <c r="B34" s="803" t="s">
        <v>39</v>
      </c>
      <c r="C34" s="774">
        <f>'Minor Minerals'!C497</f>
        <v>17</v>
      </c>
      <c r="D34" s="767">
        <f>'Minor Minerals'!D497</f>
        <v>406.15</v>
      </c>
      <c r="E34" s="767">
        <f>'Minor Minerals'!E497/100000</f>
        <v>1.479741570247934</v>
      </c>
      <c r="F34" s="767">
        <f>'Minor Minerals'!F497/10000000</f>
        <v>24.325077405558343</v>
      </c>
      <c r="G34" s="767">
        <f>'Minor Minerals'!G497/100000</f>
        <v>431.66104000000001</v>
      </c>
      <c r="H34" s="774">
        <f>'Minor Minerals'!H497</f>
        <v>23</v>
      </c>
      <c r="K34" s="401"/>
    </row>
    <row r="35" spans="1:11" s="399" customFormat="1" ht="17.100000000000001" customHeight="1" x14ac:dyDescent="0.25">
      <c r="A35" s="766">
        <v>29</v>
      </c>
      <c r="B35" s="803" t="s">
        <v>68</v>
      </c>
      <c r="C35" s="774">
        <f>'Minor Minerals'!C513</f>
        <v>33</v>
      </c>
      <c r="D35" s="767">
        <f>'Minor Minerals'!D513</f>
        <v>97.461700000000008</v>
      </c>
      <c r="E35" s="767">
        <f>'Minor Minerals'!E513/100000</f>
        <v>1.5921940999999999</v>
      </c>
      <c r="F35" s="767">
        <f>'Minor Minerals'!F513/10000000</f>
        <v>3.8866432999999998</v>
      </c>
      <c r="G35" s="767">
        <f>'Minor Minerals'!G513/100000</f>
        <v>608.55433000000005</v>
      </c>
      <c r="H35" s="774">
        <f>'Minor Minerals'!H513</f>
        <v>92</v>
      </c>
      <c r="K35" s="401"/>
    </row>
    <row r="36" spans="1:11" s="399" customFormat="1" ht="17.100000000000001" customHeight="1" x14ac:dyDescent="0.25">
      <c r="A36" s="766">
        <v>30</v>
      </c>
      <c r="B36" s="803" t="s">
        <v>40</v>
      </c>
      <c r="C36" s="774">
        <f>'Minor Minerals'!C543</f>
        <v>653</v>
      </c>
      <c r="D36" s="767">
        <f>'Minor Minerals'!D543</f>
        <v>3467.5</v>
      </c>
      <c r="E36" s="767">
        <f>'Minor Minerals'!E543/100000</f>
        <v>41.634950499999995</v>
      </c>
      <c r="F36" s="767">
        <f>'Minor Minerals'!F543/10000000</f>
        <v>225.87615396464042</v>
      </c>
      <c r="G36" s="767">
        <f>'Minor Minerals'!G543/100000</f>
        <v>3810.50756</v>
      </c>
      <c r="H36" s="774">
        <f>'Minor Minerals'!H543</f>
        <v>14335</v>
      </c>
      <c r="K36" s="401"/>
    </row>
    <row r="37" spans="1:11" s="399" customFormat="1" ht="17.100000000000001" customHeight="1" x14ac:dyDescent="0.25">
      <c r="A37" s="766">
        <v>31</v>
      </c>
      <c r="B37" s="803" t="s">
        <v>69</v>
      </c>
      <c r="C37" s="774">
        <f>'Minor Minerals'!C551</f>
        <v>174</v>
      </c>
      <c r="D37" s="767">
        <f>'Minor Minerals'!D551</f>
        <v>184.16</v>
      </c>
      <c r="E37" s="767">
        <f>'Minor Minerals'!E551/100000</f>
        <v>28.464130000000001</v>
      </c>
      <c r="F37" s="767">
        <f>'Minor Minerals'!F551/10000000</f>
        <v>35.932518700000003</v>
      </c>
      <c r="G37" s="767">
        <f>'Minor Minerals'!G551/100000</f>
        <v>1333.6428800000001</v>
      </c>
      <c r="H37" s="774">
        <f>'Minor Minerals'!H551</f>
        <v>705</v>
      </c>
      <c r="K37" s="401"/>
    </row>
    <row r="38" spans="1:11" s="399" customFormat="1" ht="17.100000000000001" customHeight="1" x14ac:dyDescent="0.25">
      <c r="A38" s="766">
        <v>32</v>
      </c>
      <c r="B38" s="803" t="s">
        <v>70</v>
      </c>
      <c r="C38" s="774">
        <f>'Minor Minerals'!C557</f>
        <v>0</v>
      </c>
      <c r="D38" s="767">
        <f>'Minor Minerals'!D557</f>
        <v>0</v>
      </c>
      <c r="E38" s="767">
        <f>'Minor Minerals'!E557/100000</f>
        <v>0</v>
      </c>
      <c r="F38" s="767">
        <f>'Minor Minerals'!F557/10000000</f>
        <v>0</v>
      </c>
      <c r="G38" s="767">
        <f>'Minor Minerals'!G557/100000</f>
        <v>0</v>
      </c>
      <c r="H38" s="774">
        <f>'Minor Minerals'!H557</f>
        <v>0</v>
      </c>
      <c r="K38" s="401"/>
    </row>
    <row r="39" spans="1:11" s="399" customFormat="1" ht="17.100000000000001" customHeight="1" x14ac:dyDescent="0.25">
      <c r="A39" s="766">
        <v>33</v>
      </c>
      <c r="B39" s="803" t="s">
        <v>71</v>
      </c>
      <c r="C39" s="774">
        <f>'Minor Minerals'!C581</f>
        <v>1018</v>
      </c>
      <c r="D39" s="767">
        <f>'Minor Minerals'!D581</f>
        <v>4874.1432999999997</v>
      </c>
      <c r="E39" s="767">
        <f>'Minor Minerals'!E581/100000</f>
        <v>123.62139210000001</v>
      </c>
      <c r="F39" s="767">
        <f>'Minor Minerals'!F581/10000000</f>
        <v>1059.1490732499999</v>
      </c>
      <c r="G39" s="767">
        <f>'Minor Minerals'!G581/100000</f>
        <v>32662.492521999997</v>
      </c>
      <c r="H39" s="774">
        <f>'Minor Minerals'!H581</f>
        <v>39333</v>
      </c>
      <c r="K39" s="401"/>
    </row>
    <row r="40" spans="1:11" s="399" customFormat="1" ht="17.100000000000001" customHeight="1" x14ac:dyDescent="0.25">
      <c r="A40" s="766">
        <v>34</v>
      </c>
      <c r="B40" s="803" t="s">
        <v>72</v>
      </c>
      <c r="C40" s="774">
        <f>'Minor Minerals'!C589</f>
        <v>206</v>
      </c>
      <c r="D40" s="767">
        <f>'Minor Minerals'!D589</f>
        <v>261.93</v>
      </c>
      <c r="E40" s="767">
        <f>'Minor Minerals'!E589/100000</f>
        <v>4.6047146000000003</v>
      </c>
      <c r="F40" s="767">
        <f>'Minor Minerals'!F589/10000000</f>
        <v>67.373924000000002</v>
      </c>
      <c r="G40" s="767">
        <f>'Minor Minerals'!G589/100000</f>
        <v>1567.15716</v>
      </c>
      <c r="H40" s="774">
        <f>'Minor Minerals'!H589</f>
        <v>2328</v>
      </c>
      <c r="K40" s="401"/>
    </row>
    <row r="41" spans="1:11" s="399" customFormat="1" ht="17.100000000000001" customHeight="1" x14ac:dyDescent="0.25">
      <c r="A41" s="766">
        <v>35</v>
      </c>
      <c r="B41" s="803" t="s">
        <v>44</v>
      </c>
      <c r="C41" s="774">
        <f>'Minor Minerals'!C613</f>
        <v>169</v>
      </c>
      <c r="D41" s="767">
        <f>'Minor Minerals'!D613</f>
        <v>2052.1039999999998</v>
      </c>
      <c r="E41" s="767">
        <f>'Minor Minerals'!E613/100000</f>
        <v>32.732267990909094</v>
      </c>
      <c r="F41" s="767">
        <f>'Minor Minerals'!F613/10000000</f>
        <v>176.59610761272728</v>
      </c>
      <c r="G41" s="767">
        <f>'Minor Minerals'!G613/100000</f>
        <v>5779.0025745000003</v>
      </c>
      <c r="H41" s="774">
        <f>'Minor Minerals'!H613</f>
        <v>1191</v>
      </c>
      <c r="K41" s="401"/>
    </row>
    <row r="42" spans="1:11" s="399" customFormat="1" ht="17.100000000000001" customHeight="1" x14ac:dyDescent="0.25">
      <c r="A42" s="766">
        <v>36</v>
      </c>
      <c r="B42" s="803" t="s">
        <v>73</v>
      </c>
      <c r="C42" s="774">
        <f>'Minor Minerals'!C622</f>
        <v>13</v>
      </c>
      <c r="D42" s="767">
        <f>'Minor Minerals'!D622</f>
        <v>33.15</v>
      </c>
      <c r="E42" s="767">
        <f>'Minor Minerals'!E622/100000</f>
        <v>8.4239999999999995E-2</v>
      </c>
      <c r="F42" s="767">
        <f>'Minor Minerals'!F622/10000000</f>
        <v>1.684906</v>
      </c>
      <c r="G42" s="767">
        <f>'Minor Minerals'!G622/100000</f>
        <v>25.44267</v>
      </c>
      <c r="H42" s="774">
        <f>'Minor Minerals'!H622</f>
        <v>55</v>
      </c>
      <c r="K42" s="401"/>
    </row>
    <row r="43" spans="1:11" s="399" customFormat="1" ht="17.100000000000001" customHeight="1" x14ac:dyDescent="0.25">
      <c r="A43" s="766">
        <v>37</v>
      </c>
      <c r="B43" s="803" t="s">
        <v>46</v>
      </c>
      <c r="C43" s="774">
        <f>'Minor Minerals'!C643</f>
        <v>176</v>
      </c>
      <c r="D43" s="767">
        <f>'Minor Minerals'!D643</f>
        <v>6362.85</v>
      </c>
      <c r="E43" s="767">
        <f>'Minor Minerals'!E643/100000</f>
        <v>15.2610121</v>
      </c>
      <c r="F43" s="767">
        <f>'Minor Minerals'!F643/10000000</f>
        <v>207.4851415</v>
      </c>
      <c r="G43" s="767">
        <f>'Minor Minerals'!G643/100000</f>
        <v>2620.59663</v>
      </c>
      <c r="H43" s="774">
        <f>'Minor Minerals'!H643</f>
        <v>2265</v>
      </c>
      <c r="K43" s="401"/>
    </row>
    <row r="44" spans="1:11" s="399" customFormat="1" ht="17.100000000000001" customHeight="1" x14ac:dyDescent="0.25">
      <c r="A44" s="766"/>
      <c r="B44" s="803" t="s">
        <v>75</v>
      </c>
      <c r="C44" s="774">
        <f>'Minor Minerals'!C703</f>
        <v>0</v>
      </c>
      <c r="D44" s="767">
        <f>'Minor Minerals'!D703</f>
        <v>0</v>
      </c>
      <c r="E44" s="767">
        <f>'Minor Minerals'!E703/100000</f>
        <v>0</v>
      </c>
      <c r="F44" s="767">
        <f>'Minor Minerals'!F703/10000000</f>
        <v>0</v>
      </c>
      <c r="G44" s="767">
        <f>'Minor Minerals'!G703/100000</f>
        <v>11494.894689999999</v>
      </c>
      <c r="H44" s="774">
        <f>'Minor Minerals'!H703</f>
        <v>0</v>
      </c>
    </row>
    <row r="45" spans="1:11" s="399" customFormat="1" ht="17.100000000000001" customHeight="1" x14ac:dyDescent="0.25">
      <c r="A45" s="766"/>
      <c r="B45" s="803" t="s">
        <v>49</v>
      </c>
      <c r="C45" s="774">
        <f>'Minor Minerals'!C757</f>
        <v>0</v>
      </c>
      <c r="D45" s="767">
        <f>'Minor Minerals'!D757</f>
        <v>0</v>
      </c>
      <c r="E45" s="767">
        <f>'Minor Minerals'!E757</f>
        <v>0</v>
      </c>
      <c r="F45" s="767">
        <f>'Minor Minerals'!F757</f>
        <v>0</v>
      </c>
      <c r="G45" s="767">
        <f>'Minor Minerals'!G757/100000</f>
        <v>56270.374649999998</v>
      </c>
      <c r="H45" s="774">
        <f>'Minor Minerals'!H757</f>
        <v>0</v>
      </c>
    </row>
    <row r="46" spans="1:11" s="399" customFormat="1" ht="17.100000000000001" customHeight="1" x14ac:dyDescent="0.25">
      <c r="A46" s="770"/>
      <c r="B46" s="770" t="s">
        <v>50</v>
      </c>
      <c r="C46" s="775">
        <f t="shared" ref="C46:H46" si="0">SUM(C7:C45)</f>
        <v>17005</v>
      </c>
      <c r="D46" s="771">
        <f t="shared" si="0"/>
        <v>163194.4718</v>
      </c>
      <c r="E46" s="771">
        <f t="shared" si="0"/>
        <v>3279.8855184341392</v>
      </c>
      <c r="F46" s="771">
        <f t="shared" si="0"/>
        <v>14901.798226648261</v>
      </c>
      <c r="G46" s="771">
        <f t="shared" si="0"/>
        <v>338817.52900049993</v>
      </c>
      <c r="H46" s="775">
        <f t="shared" si="0"/>
        <v>217138</v>
      </c>
    </row>
    <row r="49" spans="6:6" x14ac:dyDescent="0.25">
      <c r="F49" s="185"/>
    </row>
  </sheetData>
  <mergeCells count="6">
    <mergeCell ref="A1:H1"/>
    <mergeCell ref="A2:H2"/>
    <mergeCell ref="A3:H3"/>
    <mergeCell ref="A5:A6"/>
    <mergeCell ref="B5:B6"/>
    <mergeCell ref="A4:H4"/>
  </mergeCells>
  <pageMargins left="0.7" right="0.4" top="0.75" bottom="0.75" header="0.3" footer="0.3"/>
  <pageSetup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4" sqref="A4:H4"/>
    </sheetView>
  </sheetViews>
  <sheetFormatPr defaultRowHeight="15" x14ac:dyDescent="0.25"/>
  <cols>
    <col min="2" max="2" width="16.85546875" bestFit="1" customWidth="1"/>
    <col min="3" max="3" width="8.28515625" bestFit="1" customWidth="1"/>
    <col min="4" max="4" width="11.28515625" bestFit="1" customWidth="1"/>
    <col min="5" max="5" width="13.42578125" bestFit="1" customWidth="1"/>
    <col min="6" max="6" width="12.42578125" bestFit="1" customWidth="1"/>
    <col min="7" max="7" width="12.140625" bestFit="1" customWidth="1"/>
    <col min="8" max="8" width="14.85546875" bestFit="1" customWidth="1"/>
  </cols>
  <sheetData>
    <row r="1" spans="1:8" ht="34.5" x14ac:dyDescent="0.25">
      <c r="A1" s="1111" t="s">
        <v>0</v>
      </c>
      <c r="B1" s="1111"/>
      <c r="C1" s="1111"/>
      <c r="D1" s="1111"/>
      <c r="E1" s="1111"/>
      <c r="F1" s="1111"/>
      <c r="G1" s="1111"/>
      <c r="H1" s="1111"/>
    </row>
    <row r="2" spans="1:8" ht="27" x14ac:dyDescent="0.25">
      <c r="A2" s="1112" t="s">
        <v>1</v>
      </c>
      <c r="B2" s="1112"/>
      <c r="C2" s="1112"/>
      <c r="D2" s="1112"/>
      <c r="E2" s="1112"/>
      <c r="F2" s="1112"/>
      <c r="G2" s="1112"/>
      <c r="H2" s="1112"/>
    </row>
    <row r="3" spans="1:8" ht="25.5" x14ac:dyDescent="0.25">
      <c r="A3" s="1113" t="str">
        <f>'Major Minerals'!A3:H3</f>
        <v>Financial Year 2023-24</v>
      </c>
      <c r="B3" s="1113"/>
      <c r="C3" s="1113"/>
      <c r="D3" s="1113"/>
      <c r="E3" s="1113"/>
      <c r="F3" s="1113"/>
      <c r="G3" s="1113"/>
      <c r="H3" s="1113"/>
    </row>
    <row r="4" spans="1:8" ht="25.5" x14ac:dyDescent="0.25">
      <c r="A4" s="1114"/>
      <c r="B4" s="1114"/>
      <c r="C4" s="1114"/>
      <c r="D4" s="1114"/>
      <c r="E4" s="1114"/>
      <c r="F4" s="1114"/>
      <c r="G4" s="1114"/>
      <c r="H4" s="1114"/>
    </row>
    <row r="5" spans="1:8" ht="16.5" x14ac:dyDescent="0.25">
      <c r="A5" s="1109" t="s">
        <v>2</v>
      </c>
      <c r="B5" s="1107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x14ac:dyDescent="0.25">
      <c r="A6" s="1110"/>
      <c r="B6" s="1108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3.25" x14ac:dyDescent="0.35">
      <c r="A7" s="699" t="s">
        <v>14</v>
      </c>
      <c r="B7" s="700"/>
      <c r="C7" s="701"/>
      <c r="D7" s="701"/>
      <c r="E7" s="701"/>
      <c r="F7" s="701"/>
      <c r="G7" s="701"/>
      <c r="H7" s="701"/>
    </row>
    <row r="8" spans="1:8" ht="15.75" x14ac:dyDescent="0.25">
      <c r="A8" s="396">
        <v>1</v>
      </c>
      <c r="B8" s="397" t="s">
        <v>15</v>
      </c>
      <c r="C8" s="396"/>
      <c r="D8" s="398"/>
      <c r="E8" s="400"/>
      <c r="F8" s="398"/>
      <c r="G8" s="398"/>
      <c r="H8" s="396"/>
    </row>
    <row r="9" spans="1:8" ht="15.75" x14ac:dyDescent="0.25">
      <c r="A9" s="396">
        <v>2</v>
      </c>
      <c r="B9" s="397" t="s">
        <v>16</v>
      </c>
      <c r="C9" s="396"/>
      <c r="D9" s="398"/>
      <c r="E9" s="398"/>
      <c r="F9" s="398"/>
      <c r="G9" s="398"/>
      <c r="H9" s="396"/>
    </row>
    <row r="10" spans="1:8" ht="15.75" x14ac:dyDescent="0.25">
      <c r="A10" s="396">
        <v>3</v>
      </c>
      <c r="B10" s="397" t="s">
        <v>17</v>
      </c>
      <c r="C10" s="396"/>
      <c r="D10" s="398"/>
      <c r="E10" s="398"/>
      <c r="F10" s="398"/>
      <c r="G10" s="398"/>
      <c r="H10" s="396"/>
    </row>
    <row r="11" spans="1:8" ht="15.75" x14ac:dyDescent="0.25">
      <c r="A11" s="396">
        <v>4</v>
      </c>
      <c r="B11" s="397" t="s">
        <v>381</v>
      </c>
      <c r="C11" s="396"/>
      <c r="D11" s="396"/>
      <c r="E11" s="398"/>
      <c r="F11" s="400"/>
      <c r="G11" s="398"/>
      <c r="H11" s="396"/>
    </row>
    <row r="12" spans="1:8" ht="15.75" x14ac:dyDescent="0.25">
      <c r="A12" s="396">
        <v>5</v>
      </c>
      <c r="B12" s="397" t="s">
        <v>20</v>
      </c>
      <c r="C12" s="396"/>
      <c r="D12" s="398"/>
      <c r="E12" s="402"/>
      <c r="F12" s="398"/>
      <c r="G12" s="398"/>
      <c r="H12" s="396"/>
    </row>
    <row r="13" spans="1:8" ht="15.75" x14ac:dyDescent="0.25">
      <c r="A13" s="396">
        <v>6</v>
      </c>
      <c r="B13" s="397" t="s">
        <v>21</v>
      </c>
      <c r="C13" s="396"/>
      <c r="D13" s="398"/>
      <c r="E13" s="398"/>
      <c r="F13" s="398"/>
      <c r="G13" s="398"/>
      <c r="H13" s="396"/>
    </row>
    <row r="14" spans="1:8" ht="23.25" x14ac:dyDescent="0.25">
      <c r="A14" s="694" t="s">
        <v>22</v>
      </c>
      <c r="B14" s="695"/>
      <c r="C14" s="696"/>
      <c r="D14" s="697"/>
      <c r="E14" s="697"/>
      <c r="F14" s="697"/>
      <c r="G14" s="698"/>
      <c r="H14" s="698"/>
    </row>
    <row r="15" spans="1:8" ht="15.75" x14ac:dyDescent="0.25">
      <c r="A15" s="403">
        <v>7</v>
      </c>
      <c r="B15" s="641" t="s">
        <v>465</v>
      </c>
      <c r="C15" s="642"/>
      <c r="D15" s="642"/>
      <c r="E15" s="642"/>
      <c r="F15" s="642"/>
      <c r="G15" s="642"/>
      <c r="H15" s="642"/>
    </row>
    <row r="16" spans="1:8" ht="15.75" x14ac:dyDescent="0.25">
      <c r="A16" s="403">
        <v>8</v>
      </c>
      <c r="B16" s="641" t="s">
        <v>462</v>
      </c>
      <c r="C16" s="642"/>
      <c r="D16" s="642"/>
      <c r="E16" s="642"/>
      <c r="F16" s="642"/>
      <c r="G16" s="642"/>
      <c r="H16" s="642"/>
    </row>
    <row r="17" spans="1:8" ht="15.75" x14ac:dyDescent="0.25">
      <c r="A17" s="403">
        <v>9</v>
      </c>
      <c r="B17" s="641" t="s">
        <v>464</v>
      </c>
      <c r="C17" s="642"/>
      <c r="D17" s="642"/>
      <c r="E17" s="642"/>
      <c r="F17" s="642"/>
      <c r="G17" s="642"/>
      <c r="H17" s="642"/>
    </row>
    <row r="18" spans="1:8" ht="15.75" x14ac:dyDescent="0.25">
      <c r="A18" s="403">
        <v>10</v>
      </c>
      <c r="B18" s="641" t="s">
        <v>466</v>
      </c>
      <c r="C18" s="642"/>
      <c r="D18" s="642"/>
      <c r="E18" s="642"/>
      <c r="F18" s="642"/>
      <c r="G18" s="747"/>
      <c r="H18" s="642"/>
    </row>
    <row r="19" spans="1:8" ht="15.75" x14ac:dyDescent="0.25">
      <c r="A19" s="403">
        <v>11</v>
      </c>
      <c r="B19" s="397" t="s">
        <v>396</v>
      </c>
      <c r="C19" s="396"/>
      <c r="D19" s="396"/>
      <c r="E19" s="402"/>
      <c r="F19" s="402"/>
      <c r="G19" s="396"/>
      <c r="H19" s="396"/>
    </row>
    <row r="20" spans="1:8" ht="15.75" x14ac:dyDescent="0.25">
      <c r="A20" s="403">
        <v>12</v>
      </c>
      <c r="B20" s="404" t="s">
        <v>29</v>
      </c>
      <c r="C20" s="396"/>
      <c r="D20" s="398"/>
      <c r="E20" s="398"/>
      <c r="F20" s="398"/>
      <c r="G20" s="398"/>
      <c r="H20" s="396"/>
    </row>
    <row r="21" spans="1:8" ht="29.25" customHeight="1" x14ac:dyDescent="0.25">
      <c r="A21" s="403">
        <v>13</v>
      </c>
      <c r="B21" s="397" t="s">
        <v>33</v>
      </c>
      <c r="C21" s="396"/>
      <c r="D21" s="398"/>
      <c r="E21" s="398"/>
      <c r="F21" s="398"/>
      <c r="G21" s="398"/>
      <c r="H21" s="396"/>
    </row>
    <row r="22" spans="1:8" ht="15.75" x14ac:dyDescent="0.25">
      <c r="A22" s="403">
        <v>14</v>
      </c>
      <c r="B22" s="397" t="s">
        <v>36</v>
      </c>
      <c r="C22" s="396"/>
      <c r="D22" s="398"/>
      <c r="E22" s="398"/>
      <c r="F22" s="398"/>
      <c r="G22" s="398"/>
      <c r="H22" s="396"/>
    </row>
    <row r="23" spans="1:8" ht="15.75" x14ac:dyDescent="0.25">
      <c r="A23" s="403">
        <v>15</v>
      </c>
      <c r="B23" s="397" t="s">
        <v>47</v>
      </c>
      <c r="C23" s="396"/>
      <c r="D23" s="398"/>
      <c r="E23" s="398"/>
      <c r="F23" s="398"/>
      <c r="G23" s="398"/>
      <c r="H23" s="396"/>
    </row>
    <row r="24" spans="1:8" ht="15.75" x14ac:dyDescent="0.25">
      <c r="A24" s="403">
        <v>16</v>
      </c>
      <c r="B24" s="397" t="s">
        <v>458</v>
      </c>
      <c r="C24" s="396"/>
      <c r="D24" s="396"/>
      <c r="E24" s="396"/>
      <c r="F24" s="396"/>
      <c r="G24" s="396"/>
      <c r="H24" s="396"/>
    </row>
    <row r="25" spans="1:8" ht="15.75" x14ac:dyDescent="0.25">
      <c r="A25" s="403">
        <v>17</v>
      </c>
      <c r="B25" s="397" t="s">
        <v>43</v>
      </c>
      <c r="C25" s="396"/>
      <c r="D25" s="398"/>
      <c r="E25" s="398"/>
      <c r="F25" s="398"/>
      <c r="G25" s="398"/>
      <c r="H25" s="396"/>
    </row>
    <row r="26" spans="1:8" ht="31.5" x14ac:dyDescent="0.25">
      <c r="A26" s="403">
        <v>18</v>
      </c>
      <c r="B26" s="405" t="s">
        <v>30</v>
      </c>
      <c r="C26" s="396"/>
      <c r="D26" s="398"/>
      <c r="E26" s="398"/>
      <c r="F26" s="398"/>
      <c r="G26" s="398"/>
      <c r="H26" s="396"/>
    </row>
    <row r="27" spans="1:8" ht="15.75" x14ac:dyDescent="0.25">
      <c r="A27" s="403">
        <v>19</v>
      </c>
      <c r="B27" s="397" t="s">
        <v>45</v>
      </c>
      <c r="C27" s="396"/>
      <c r="D27" s="398"/>
      <c r="E27" s="398"/>
      <c r="F27" s="398"/>
      <c r="G27" s="398"/>
      <c r="H27" s="396"/>
    </row>
    <row r="28" spans="1:8" ht="15.75" x14ac:dyDescent="0.25">
      <c r="A28" s="403">
        <v>20</v>
      </c>
      <c r="B28" s="397" t="s">
        <v>48</v>
      </c>
      <c r="C28" s="396"/>
      <c r="D28" s="398"/>
      <c r="E28" s="398"/>
      <c r="F28" s="398"/>
      <c r="G28" s="398"/>
      <c r="H28" s="396"/>
    </row>
    <row r="29" spans="1:8" ht="15.75" x14ac:dyDescent="0.25">
      <c r="A29" s="403">
        <v>21</v>
      </c>
      <c r="B29" s="397" t="s">
        <v>42</v>
      </c>
      <c r="C29" s="396"/>
      <c r="D29" s="398"/>
      <c r="E29" s="398"/>
      <c r="F29" s="398"/>
      <c r="G29" s="398"/>
      <c r="H29" s="396"/>
    </row>
    <row r="30" spans="1:8" ht="15.75" x14ac:dyDescent="0.25">
      <c r="A30" s="403">
        <v>22</v>
      </c>
      <c r="B30" s="397" t="s">
        <v>34</v>
      </c>
      <c r="C30" s="396"/>
      <c r="D30" s="398"/>
      <c r="E30" s="398"/>
      <c r="F30" s="398"/>
      <c r="G30" s="398"/>
      <c r="H30" s="396"/>
    </row>
    <row r="31" spans="1:8" ht="15.75" x14ac:dyDescent="0.25">
      <c r="A31" s="403"/>
      <c r="B31" s="397" t="s">
        <v>35</v>
      </c>
      <c r="C31" s="396"/>
      <c r="D31" s="398"/>
      <c r="E31" s="398"/>
      <c r="F31" s="398"/>
      <c r="G31" s="398"/>
      <c r="H31" s="396"/>
    </row>
    <row r="32" spans="1:8" ht="16.5" x14ac:dyDescent="0.25">
      <c r="A32" s="692"/>
      <c r="B32" s="692" t="s">
        <v>50</v>
      </c>
      <c r="C32" s="692">
        <f>SUM(C8:C31)</f>
        <v>0</v>
      </c>
      <c r="D32" s="692">
        <f t="shared" ref="D32:H32" si="0">SUM(D8:D31)</f>
        <v>0</v>
      </c>
      <c r="E32" s="692">
        <f t="shared" si="0"/>
        <v>0</v>
      </c>
      <c r="F32" s="692">
        <f t="shared" si="0"/>
        <v>0</v>
      </c>
      <c r="G32" s="692">
        <f t="shared" si="0"/>
        <v>0</v>
      </c>
      <c r="H32" s="692">
        <f t="shared" si="0"/>
        <v>0</v>
      </c>
    </row>
  </sheetData>
  <sortState ref="B15:H32">
    <sortCondition ref="E15:E32"/>
  </sortState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A52" workbookViewId="0">
      <selection activeCell="F58" sqref="F58"/>
    </sheetView>
  </sheetViews>
  <sheetFormatPr defaultRowHeight="15" x14ac:dyDescent="0.25"/>
  <cols>
    <col min="2" max="2" width="29.28515625" bestFit="1" customWidth="1"/>
    <col min="3" max="3" width="11.7109375" customWidth="1"/>
    <col min="4" max="4" width="13" customWidth="1"/>
    <col min="5" max="5" width="19" customWidth="1"/>
    <col min="6" max="6" width="21" customWidth="1"/>
    <col min="7" max="7" width="20.7109375" customWidth="1"/>
    <col min="8" max="8" width="16.28515625" customWidth="1"/>
    <col min="13" max="13" width="16.42578125" customWidth="1"/>
  </cols>
  <sheetData>
    <row r="1" spans="1:5" ht="33.75" customHeight="1" x14ac:dyDescent="0.25">
      <c r="A1" s="1311" t="s">
        <v>180</v>
      </c>
      <c r="B1" s="1311"/>
      <c r="C1" s="1311"/>
      <c r="D1" s="1311"/>
      <c r="E1" s="1311"/>
    </row>
    <row r="2" spans="1:5" ht="27" x14ac:dyDescent="0.25">
      <c r="A2" s="1331" t="str">
        <f>Categorywise!A2</f>
        <v>Financial Year 2023-24</v>
      </c>
      <c r="B2" s="1331"/>
      <c r="C2" s="1331"/>
      <c r="D2" s="1331"/>
      <c r="E2" s="1331"/>
    </row>
    <row r="3" spans="1:5" ht="22.5" x14ac:dyDescent="0.25">
      <c r="A3" s="1282"/>
      <c r="B3" s="1282"/>
      <c r="C3" s="1282"/>
      <c r="D3" s="1282"/>
      <c r="E3" s="1282"/>
    </row>
    <row r="5" spans="1:5" x14ac:dyDescent="0.25">
      <c r="A5" s="1317" t="s">
        <v>303</v>
      </c>
      <c r="B5" s="1319" t="s">
        <v>304</v>
      </c>
      <c r="C5" s="1313" t="s">
        <v>305</v>
      </c>
      <c r="D5" s="1313" t="s">
        <v>306</v>
      </c>
      <c r="E5" s="1313" t="s">
        <v>307</v>
      </c>
    </row>
    <row r="6" spans="1:5" x14ac:dyDescent="0.25">
      <c r="A6" s="1318"/>
      <c r="B6" s="1319"/>
      <c r="C6" s="1314"/>
      <c r="D6" s="1314"/>
      <c r="E6" s="1314"/>
    </row>
    <row r="7" spans="1:5" ht="27.75" x14ac:dyDescent="0.4">
      <c r="A7" s="91">
        <v>1</v>
      </c>
      <c r="B7" s="104" t="s">
        <v>308</v>
      </c>
      <c r="C7" s="1320"/>
      <c r="D7" s="1321"/>
      <c r="E7" s="1322"/>
    </row>
    <row r="8" spans="1:5" ht="26.25" x14ac:dyDescent="0.4">
      <c r="A8" s="98">
        <v>1</v>
      </c>
      <c r="B8" s="99" t="s">
        <v>309</v>
      </c>
      <c r="C8" s="83"/>
      <c r="D8" s="83"/>
      <c r="E8" s="83"/>
    </row>
    <row r="9" spans="1:5" ht="26.25" x14ac:dyDescent="0.4">
      <c r="A9" s="98">
        <v>2</v>
      </c>
      <c r="B9" s="99" t="s">
        <v>310</v>
      </c>
      <c r="C9" s="83"/>
      <c r="D9" s="83"/>
      <c r="E9" s="83"/>
    </row>
    <row r="10" spans="1:5" ht="26.25" x14ac:dyDescent="0.4">
      <c r="A10" s="98">
        <v>3</v>
      </c>
      <c r="B10" s="99" t="s">
        <v>311</v>
      </c>
      <c r="C10" s="83"/>
      <c r="D10" s="83"/>
      <c r="E10" s="83"/>
    </row>
    <row r="11" spans="1:5" ht="26.25" x14ac:dyDescent="0.4">
      <c r="A11" s="100">
        <v>4</v>
      </c>
      <c r="B11" s="99" t="s">
        <v>312</v>
      </c>
      <c r="C11" s="83"/>
      <c r="D11" s="83"/>
      <c r="E11" s="84"/>
    </row>
    <row r="12" spans="1:5" ht="26.25" x14ac:dyDescent="0.4">
      <c r="A12" s="100">
        <v>5</v>
      </c>
      <c r="B12" s="99" t="s">
        <v>313</v>
      </c>
      <c r="C12" s="83"/>
      <c r="D12" s="83"/>
      <c r="E12" s="84"/>
    </row>
    <row r="13" spans="1:5" ht="26.25" x14ac:dyDescent="0.4">
      <c r="A13" s="100">
        <v>6</v>
      </c>
      <c r="B13" s="99" t="s">
        <v>314</v>
      </c>
      <c r="C13" s="84"/>
      <c r="D13" s="83"/>
      <c r="E13" s="84"/>
    </row>
    <row r="14" spans="1:5" ht="26.25" x14ac:dyDescent="0.4">
      <c r="A14" s="1315" t="s">
        <v>50</v>
      </c>
      <c r="B14" s="1316"/>
      <c r="C14" s="88">
        <f>SUM(C8:C13)</f>
        <v>0</v>
      </c>
      <c r="D14" s="88">
        <f>SUM(D8:D13)</f>
        <v>0</v>
      </c>
      <c r="E14" s="88">
        <f>SUM(E8:E13)</f>
        <v>0</v>
      </c>
    </row>
    <row r="15" spans="1:5" ht="27.75" x14ac:dyDescent="0.4">
      <c r="A15" s="101">
        <v>2</v>
      </c>
      <c r="B15" s="105" t="s">
        <v>315</v>
      </c>
      <c r="C15" s="1323"/>
      <c r="D15" s="1324"/>
      <c r="E15" s="1325"/>
    </row>
    <row r="16" spans="1:5" ht="26.25" x14ac:dyDescent="0.4">
      <c r="A16" s="99">
        <v>1</v>
      </c>
      <c r="B16" s="99" t="s">
        <v>316</v>
      </c>
      <c r="C16" s="86"/>
      <c r="D16" s="87"/>
      <c r="E16" s="87"/>
    </row>
    <row r="17" spans="1:10" ht="26.25" x14ac:dyDescent="0.4">
      <c r="A17" s="99">
        <v>2</v>
      </c>
      <c r="B17" s="99" t="s">
        <v>317</v>
      </c>
      <c r="C17" s="87"/>
      <c r="D17" s="87"/>
      <c r="E17" s="87"/>
    </row>
    <row r="18" spans="1:10" ht="26.25" x14ac:dyDescent="0.4">
      <c r="A18" s="99">
        <v>3</v>
      </c>
      <c r="B18" s="99" t="s">
        <v>318</v>
      </c>
      <c r="C18" s="87"/>
      <c r="D18" s="87"/>
      <c r="E18" s="87"/>
    </row>
    <row r="19" spans="1:10" ht="26.25" x14ac:dyDescent="0.4">
      <c r="A19" s="102">
        <v>4</v>
      </c>
      <c r="B19" s="99" t="s">
        <v>319</v>
      </c>
      <c r="C19" s="87"/>
      <c r="D19" s="87"/>
      <c r="E19" s="87"/>
    </row>
    <row r="20" spans="1:10" ht="26.25" x14ac:dyDescent="0.4">
      <c r="A20" s="102">
        <v>5</v>
      </c>
      <c r="B20" s="98" t="s">
        <v>320</v>
      </c>
      <c r="C20" s="83"/>
      <c r="D20" s="83"/>
      <c r="E20" s="87"/>
    </row>
    <row r="21" spans="1:10" ht="26.25" x14ac:dyDescent="0.4">
      <c r="A21" s="1315" t="s">
        <v>50</v>
      </c>
      <c r="B21" s="1316"/>
      <c r="C21" s="88">
        <f>SUM(C16:C20)</f>
        <v>0</v>
      </c>
      <c r="D21" s="88">
        <f>SUM(D16:D20)</f>
        <v>0</v>
      </c>
      <c r="E21" s="88">
        <f>SUM(E16:E20)</f>
        <v>0</v>
      </c>
    </row>
    <row r="22" spans="1:10" ht="27.75" x14ac:dyDescent="0.4">
      <c r="A22" s="100">
        <v>3</v>
      </c>
      <c r="B22" s="106" t="s">
        <v>321</v>
      </c>
      <c r="C22" s="1326"/>
      <c r="D22" s="1327"/>
      <c r="E22" s="1328"/>
    </row>
    <row r="23" spans="1:10" ht="26.25" x14ac:dyDescent="0.4">
      <c r="A23" s="99">
        <v>1</v>
      </c>
      <c r="B23" s="99" t="s">
        <v>322</v>
      </c>
      <c r="C23" s="87"/>
      <c r="D23" s="87"/>
      <c r="E23" s="87"/>
    </row>
    <row r="24" spans="1:10" ht="26.25" x14ac:dyDescent="0.4">
      <c r="A24" s="99">
        <v>2</v>
      </c>
      <c r="B24" s="99" t="s">
        <v>323</v>
      </c>
      <c r="C24" s="87"/>
      <c r="D24" s="87"/>
      <c r="E24" s="87"/>
    </row>
    <row r="25" spans="1:10" ht="26.25" x14ac:dyDescent="0.4">
      <c r="A25" s="99">
        <v>3</v>
      </c>
      <c r="B25" s="99" t="s">
        <v>324</v>
      </c>
      <c r="C25" s="87"/>
      <c r="D25" s="87"/>
      <c r="E25" s="87"/>
    </row>
    <row r="26" spans="1:10" ht="26.25" x14ac:dyDescent="0.4">
      <c r="A26" s="99">
        <v>4</v>
      </c>
      <c r="B26" s="98" t="s">
        <v>325</v>
      </c>
      <c r="C26" s="87"/>
      <c r="D26" s="87"/>
      <c r="E26" s="87"/>
      <c r="J26" s="823"/>
    </row>
    <row r="27" spans="1:10" ht="26.25" x14ac:dyDescent="0.4">
      <c r="A27" s="99">
        <v>5</v>
      </c>
      <c r="B27" s="98" t="s">
        <v>326</v>
      </c>
      <c r="C27" s="87"/>
      <c r="D27" s="87"/>
      <c r="E27" s="87"/>
    </row>
    <row r="28" spans="1:10" ht="26.25" x14ac:dyDescent="0.4">
      <c r="A28" s="1315" t="s">
        <v>50</v>
      </c>
      <c r="B28" s="1316"/>
      <c r="C28" s="88">
        <f>SUM(C23:C27)</f>
        <v>0</v>
      </c>
      <c r="D28" s="88">
        <f>SUM(D23:D27)</f>
        <v>0</v>
      </c>
      <c r="E28" s="88">
        <f>SUM(E23:E27)</f>
        <v>0</v>
      </c>
    </row>
    <row r="29" spans="1:10" ht="27.75" x14ac:dyDescent="0.4">
      <c r="A29" s="100">
        <v>4</v>
      </c>
      <c r="B29" s="106" t="s">
        <v>327</v>
      </c>
      <c r="C29" s="87"/>
      <c r="D29" s="87"/>
      <c r="E29" s="87"/>
    </row>
    <row r="30" spans="1:10" ht="26.25" x14ac:dyDescent="0.4">
      <c r="A30" s="99">
        <v>1</v>
      </c>
      <c r="B30" s="99" t="s">
        <v>328</v>
      </c>
      <c r="C30" s="87"/>
      <c r="D30" s="668"/>
      <c r="E30" s="87"/>
    </row>
    <row r="31" spans="1:10" ht="26.25" x14ac:dyDescent="0.4">
      <c r="A31" s="99">
        <v>2</v>
      </c>
      <c r="B31" s="99" t="s">
        <v>329</v>
      </c>
      <c r="C31" s="87"/>
      <c r="D31" s="87"/>
      <c r="E31" s="87"/>
    </row>
    <row r="32" spans="1:10" ht="26.25" x14ac:dyDescent="0.4">
      <c r="A32" s="99">
        <v>3</v>
      </c>
      <c r="B32" s="99" t="s">
        <v>471</v>
      </c>
      <c r="C32" s="87"/>
      <c r="D32" s="87"/>
      <c r="E32" s="87"/>
    </row>
    <row r="33" spans="1:5" ht="26.25" x14ac:dyDescent="0.4">
      <c r="A33" s="99">
        <v>4</v>
      </c>
      <c r="B33" s="103" t="s">
        <v>331</v>
      </c>
      <c r="C33" s="87"/>
      <c r="D33" s="87"/>
      <c r="E33" s="87"/>
    </row>
    <row r="34" spans="1:5" ht="26.25" x14ac:dyDescent="0.4">
      <c r="A34" s="99">
        <v>5</v>
      </c>
      <c r="B34" s="99" t="s">
        <v>332</v>
      </c>
      <c r="C34" s="87"/>
      <c r="D34" s="668"/>
      <c r="E34" s="87"/>
    </row>
    <row r="35" spans="1:5" ht="26.25" x14ac:dyDescent="0.4">
      <c r="A35" s="99">
        <v>6</v>
      </c>
      <c r="B35" s="99" t="s">
        <v>333</v>
      </c>
      <c r="C35" s="87"/>
      <c r="D35" s="87"/>
      <c r="E35" s="87"/>
    </row>
    <row r="36" spans="1:5" ht="26.25" x14ac:dyDescent="0.4">
      <c r="A36" s="99">
        <v>7</v>
      </c>
      <c r="B36" s="99" t="s">
        <v>334</v>
      </c>
      <c r="C36" s="87"/>
      <c r="D36" s="87"/>
      <c r="E36" s="87"/>
    </row>
    <row r="37" spans="1:5" ht="26.25" x14ac:dyDescent="0.4">
      <c r="A37" s="99">
        <v>8</v>
      </c>
      <c r="B37" s="99" t="s">
        <v>335</v>
      </c>
      <c r="C37" s="87"/>
      <c r="D37" s="87"/>
      <c r="E37" s="87"/>
    </row>
    <row r="38" spans="1:5" ht="26.25" x14ac:dyDescent="0.4">
      <c r="A38" s="1315" t="s">
        <v>50</v>
      </c>
      <c r="B38" s="1316"/>
      <c r="C38" s="88">
        <f>SUM(C30:C37)</f>
        <v>0</v>
      </c>
      <c r="D38" s="88">
        <f>SUM(D30:D37)</f>
        <v>0</v>
      </c>
      <c r="E38" s="88">
        <f>SUM(E30:E37)</f>
        <v>0</v>
      </c>
    </row>
    <row r="39" spans="1:5" ht="27.75" x14ac:dyDescent="0.4">
      <c r="A39" s="100">
        <v>5</v>
      </c>
      <c r="B39" s="106" t="s">
        <v>336</v>
      </c>
      <c r="C39" s="1326"/>
      <c r="D39" s="1327"/>
      <c r="E39" s="1328"/>
    </row>
    <row r="40" spans="1:5" ht="26.25" x14ac:dyDescent="0.4">
      <c r="A40" s="99">
        <v>1</v>
      </c>
      <c r="B40" s="99" t="s">
        <v>337</v>
      </c>
      <c r="C40" s="668"/>
      <c r="D40" s="87"/>
      <c r="E40" s="87"/>
    </row>
    <row r="41" spans="1:5" ht="26.25" x14ac:dyDescent="0.4">
      <c r="A41" s="99">
        <v>2</v>
      </c>
      <c r="B41" s="99" t="s">
        <v>338</v>
      </c>
      <c r="C41" s="87"/>
      <c r="D41" s="87"/>
      <c r="E41" s="87"/>
    </row>
    <row r="42" spans="1:5" ht="26.25" x14ac:dyDescent="0.4">
      <c r="A42" s="99">
        <v>3</v>
      </c>
      <c r="B42" s="99" t="s">
        <v>339</v>
      </c>
      <c r="C42" s="87"/>
      <c r="D42" s="668"/>
      <c r="E42" s="87"/>
    </row>
    <row r="43" spans="1:5" ht="26.25" x14ac:dyDescent="0.4">
      <c r="A43" s="99">
        <v>4</v>
      </c>
      <c r="B43" s="99" t="s">
        <v>340</v>
      </c>
      <c r="C43" s="87"/>
      <c r="D43" s="87"/>
      <c r="E43" s="87"/>
    </row>
    <row r="44" spans="1:5" ht="26.25" x14ac:dyDescent="0.4">
      <c r="A44" s="99">
        <v>5</v>
      </c>
      <c r="B44" s="99" t="s">
        <v>341</v>
      </c>
      <c r="C44" s="87"/>
      <c r="D44" s="668"/>
      <c r="E44" s="87"/>
    </row>
    <row r="45" spans="1:5" ht="26.25" x14ac:dyDescent="0.4">
      <c r="A45" s="99">
        <v>6</v>
      </c>
      <c r="B45" s="99" t="s">
        <v>342</v>
      </c>
      <c r="C45" s="87"/>
      <c r="D45" s="87"/>
      <c r="E45" s="87"/>
    </row>
    <row r="46" spans="1:5" ht="26.25" x14ac:dyDescent="0.4">
      <c r="A46" s="1315" t="s">
        <v>50</v>
      </c>
      <c r="B46" s="1316"/>
      <c r="C46" s="88">
        <f>SUM(C40:C45)</f>
        <v>0</v>
      </c>
      <c r="D46" s="88">
        <f>SUM(D40:D45)</f>
        <v>0</v>
      </c>
      <c r="E46" s="88">
        <f>SUM(E40:E45)</f>
        <v>0</v>
      </c>
    </row>
    <row r="47" spans="1:5" ht="27.75" x14ac:dyDescent="0.4">
      <c r="A47" s="100">
        <v>6</v>
      </c>
      <c r="B47" s="106" t="s">
        <v>343</v>
      </c>
      <c r="C47" s="1326"/>
      <c r="D47" s="1327"/>
      <c r="E47" s="1328"/>
    </row>
    <row r="48" spans="1:5" ht="26.25" x14ac:dyDescent="0.4">
      <c r="A48" s="99">
        <v>1</v>
      </c>
      <c r="B48" s="99" t="s">
        <v>344</v>
      </c>
      <c r="C48" s="87"/>
      <c r="D48" s="87"/>
      <c r="E48" s="87"/>
    </row>
    <row r="49" spans="1:6" ht="26.25" x14ac:dyDescent="0.4">
      <c r="A49" s="99">
        <v>2</v>
      </c>
      <c r="B49" s="99" t="s">
        <v>345</v>
      </c>
      <c r="C49" s="87"/>
      <c r="D49" s="87"/>
      <c r="E49" s="87"/>
    </row>
    <row r="50" spans="1:6" ht="26.25" x14ac:dyDescent="0.4">
      <c r="A50" s="99">
        <v>3</v>
      </c>
      <c r="B50" s="99" t="s">
        <v>346</v>
      </c>
      <c r="C50" s="87"/>
      <c r="D50" s="87"/>
      <c r="E50" s="87"/>
    </row>
    <row r="51" spans="1:6" ht="26.25" x14ac:dyDescent="0.4">
      <c r="A51" s="99">
        <v>4</v>
      </c>
      <c r="B51" s="99" t="s">
        <v>347</v>
      </c>
      <c r="C51" s="87"/>
      <c r="D51" s="87"/>
      <c r="E51" s="87"/>
    </row>
    <row r="52" spans="1:6" ht="24" customHeight="1" x14ac:dyDescent="0.4">
      <c r="A52" s="99">
        <v>5</v>
      </c>
      <c r="B52" s="99" t="s">
        <v>348</v>
      </c>
      <c r="C52" s="87"/>
      <c r="D52" s="668"/>
      <c r="E52" s="87"/>
      <c r="F52" s="824"/>
    </row>
    <row r="53" spans="1:6" ht="26.25" x14ac:dyDescent="0.4">
      <c r="A53" s="99">
        <v>6</v>
      </c>
      <c r="B53" s="99" t="s">
        <v>349</v>
      </c>
      <c r="C53" s="83"/>
      <c r="D53" s="83"/>
      <c r="E53" s="87"/>
    </row>
    <row r="54" spans="1:6" ht="26.25" x14ac:dyDescent="0.4">
      <c r="A54" s="1315" t="s">
        <v>50</v>
      </c>
      <c r="B54" s="1316"/>
      <c r="C54" s="88">
        <f>SUM(C48:C53)</f>
        <v>0</v>
      </c>
      <c r="D54" s="88">
        <f>SUM(D48:D53)</f>
        <v>0</v>
      </c>
      <c r="E54" s="88">
        <f>SUM(E48:E53)</f>
        <v>0</v>
      </c>
    </row>
    <row r="55" spans="1:6" ht="27.75" x14ac:dyDescent="0.4">
      <c r="A55" s="100">
        <v>7</v>
      </c>
      <c r="B55" s="106" t="s">
        <v>350</v>
      </c>
      <c r="C55" s="1326"/>
      <c r="D55" s="1327"/>
      <c r="E55" s="1328"/>
    </row>
    <row r="56" spans="1:6" ht="26.25" x14ac:dyDescent="0.4">
      <c r="A56" s="99">
        <v>1</v>
      </c>
      <c r="B56" s="99" t="s">
        <v>351</v>
      </c>
      <c r="C56" s="87"/>
      <c r="D56" s="87"/>
      <c r="E56" s="87"/>
    </row>
    <row r="57" spans="1:6" ht="26.25" x14ac:dyDescent="0.4">
      <c r="A57" s="99">
        <v>2</v>
      </c>
      <c r="B57" s="99" t="s">
        <v>352</v>
      </c>
      <c r="C57" s="87"/>
      <c r="D57" s="87"/>
      <c r="E57" s="87"/>
    </row>
    <row r="58" spans="1:6" ht="26.25" x14ac:dyDescent="0.4">
      <c r="A58" s="99">
        <v>3</v>
      </c>
      <c r="B58" s="99" t="s">
        <v>353</v>
      </c>
      <c r="C58" s="668"/>
      <c r="D58" s="668"/>
      <c r="E58" s="668"/>
    </row>
    <row r="59" spans="1:6" ht="26.25" x14ac:dyDescent="0.4">
      <c r="A59" s="99">
        <v>4</v>
      </c>
      <c r="B59" s="99" t="s">
        <v>354</v>
      </c>
      <c r="C59" s="668"/>
      <c r="D59" s="87"/>
      <c r="E59" s="87"/>
    </row>
    <row r="60" spans="1:6" ht="26.25" x14ac:dyDescent="0.4">
      <c r="A60" s="1315" t="s">
        <v>50</v>
      </c>
      <c r="B60" s="1316"/>
      <c r="C60" s="85">
        <f>SUM(C56:C59)</f>
        <v>0</v>
      </c>
      <c r="D60" s="85">
        <f>SUM(D56:D59)</f>
        <v>0</v>
      </c>
      <c r="E60" s="85">
        <f>SUM(E56:E59)</f>
        <v>0</v>
      </c>
    </row>
    <row r="61" spans="1:6" ht="27.75" x14ac:dyDescent="0.4">
      <c r="A61" s="100">
        <v>8</v>
      </c>
      <c r="B61" s="106" t="s">
        <v>355</v>
      </c>
      <c r="C61" s="1332"/>
      <c r="D61" s="1333"/>
      <c r="E61" s="1334"/>
    </row>
    <row r="62" spans="1:6" ht="26.25" x14ac:dyDescent="0.4">
      <c r="A62" s="99">
        <v>1</v>
      </c>
      <c r="B62" s="99" t="s">
        <v>356</v>
      </c>
      <c r="C62" s="83"/>
      <c r="D62" s="83"/>
      <c r="E62" s="87"/>
    </row>
    <row r="63" spans="1:6" ht="26.25" x14ac:dyDescent="0.4">
      <c r="A63" s="99">
        <v>2</v>
      </c>
      <c r="B63" s="99" t="s">
        <v>357</v>
      </c>
      <c r="C63" s="83"/>
      <c r="D63" s="83"/>
      <c r="E63" s="87"/>
    </row>
    <row r="64" spans="1:6" ht="26.25" x14ac:dyDescent="0.4">
      <c r="A64" s="99">
        <v>3</v>
      </c>
      <c r="B64" s="99" t="s">
        <v>358</v>
      </c>
      <c r="C64" s="83"/>
      <c r="D64" s="83"/>
      <c r="E64" s="87"/>
    </row>
    <row r="65" spans="1:5" ht="26.25" x14ac:dyDescent="0.4">
      <c r="A65" s="1315" t="s">
        <v>50</v>
      </c>
      <c r="B65" s="1316"/>
      <c r="C65" s="88">
        <f>SUM(C62:C64)</f>
        <v>0</v>
      </c>
      <c r="D65" s="88">
        <f>SUM(D62:D64)</f>
        <v>0</v>
      </c>
      <c r="E65" s="88">
        <f>SUM(E62:E64)</f>
        <v>0</v>
      </c>
    </row>
    <row r="66" spans="1:5" ht="26.25" x14ac:dyDescent="0.4">
      <c r="A66" s="100">
        <v>9</v>
      </c>
      <c r="B66" s="100" t="s">
        <v>359</v>
      </c>
      <c r="C66" s="1326"/>
      <c r="D66" s="1327"/>
      <c r="E66" s="1328"/>
    </row>
    <row r="67" spans="1:5" ht="26.25" x14ac:dyDescent="0.4">
      <c r="A67" s="99">
        <v>1</v>
      </c>
      <c r="B67" s="99" t="s">
        <v>360</v>
      </c>
      <c r="C67" s="87"/>
      <c r="D67" s="87"/>
      <c r="E67" s="87"/>
    </row>
    <row r="68" spans="1:5" ht="26.25" x14ac:dyDescent="0.4">
      <c r="A68" s="99">
        <v>2</v>
      </c>
      <c r="B68" s="99" t="s">
        <v>361</v>
      </c>
      <c r="C68" s="87"/>
      <c r="D68" s="87"/>
      <c r="E68" s="87"/>
    </row>
    <row r="69" spans="1:5" ht="26.25" x14ac:dyDescent="0.4">
      <c r="A69" s="99">
        <v>3</v>
      </c>
      <c r="B69" s="99" t="s">
        <v>362</v>
      </c>
      <c r="C69" s="87"/>
      <c r="D69" s="87"/>
      <c r="E69" s="87"/>
    </row>
    <row r="70" spans="1:5" ht="26.25" x14ac:dyDescent="0.4">
      <c r="A70" s="99">
        <v>4</v>
      </c>
      <c r="B70" s="99" t="s">
        <v>363</v>
      </c>
      <c r="C70" s="87"/>
      <c r="D70" s="87"/>
      <c r="E70" s="87"/>
    </row>
    <row r="71" spans="1:5" ht="26.25" x14ac:dyDescent="0.4">
      <c r="A71" s="99">
        <v>5</v>
      </c>
      <c r="B71" s="99" t="s">
        <v>364</v>
      </c>
      <c r="C71" s="87"/>
      <c r="D71" s="87"/>
      <c r="E71" s="87"/>
    </row>
    <row r="72" spans="1:5" ht="26.25" x14ac:dyDescent="0.4">
      <c r="A72" s="99">
        <v>6</v>
      </c>
      <c r="B72" s="99" t="s">
        <v>365</v>
      </c>
      <c r="C72" s="87"/>
      <c r="D72" s="87"/>
      <c r="E72" s="87"/>
    </row>
    <row r="73" spans="1:5" ht="27.75" x14ac:dyDescent="0.4">
      <c r="A73" s="1335" t="s">
        <v>50</v>
      </c>
      <c r="B73" s="1336"/>
      <c r="C73" s="88">
        <f>SUM(C67:C72)</f>
        <v>0</v>
      </c>
      <c r="D73" s="88">
        <f>SUM(D67:D72)</f>
        <v>0</v>
      </c>
      <c r="E73" s="88">
        <f>SUM(E67:E72)</f>
        <v>0</v>
      </c>
    </row>
    <row r="74" spans="1:5" ht="30" x14ac:dyDescent="0.4">
      <c r="A74" s="1337"/>
      <c r="B74" s="1338"/>
      <c r="C74" s="1338"/>
      <c r="D74" s="1338"/>
      <c r="E74" s="1339"/>
    </row>
    <row r="75" spans="1:5" ht="30.75" x14ac:dyDescent="0.25">
      <c r="A75" s="1329" t="s">
        <v>366</v>
      </c>
      <c r="B75" s="1330"/>
      <c r="C75" s="89">
        <f>C14+C21+C28+C38+C46+C54+C60+C65+C73</f>
        <v>0</v>
      </c>
      <c r="D75" s="89">
        <f>D14+D21+D28+D38+D46+D54+D60+D65+D73</f>
        <v>0</v>
      </c>
      <c r="E75" s="89">
        <f>E14+E21+E28+E38+E46+E54+E60+E65+E73</f>
        <v>0</v>
      </c>
    </row>
  </sheetData>
  <mergeCells count="27">
    <mergeCell ref="A1:E1"/>
    <mergeCell ref="A2:E2"/>
    <mergeCell ref="A3:E3"/>
    <mergeCell ref="A5:A6"/>
    <mergeCell ref="B5:B6"/>
    <mergeCell ref="C5:C6"/>
    <mergeCell ref="D5:D6"/>
    <mergeCell ref="E5:E6"/>
    <mergeCell ref="C55:E55"/>
    <mergeCell ref="C7:E7"/>
    <mergeCell ref="A14:B14"/>
    <mergeCell ref="C15:E15"/>
    <mergeCell ref="A21:B21"/>
    <mergeCell ref="C22:E22"/>
    <mergeCell ref="A28:B28"/>
    <mergeCell ref="A38:B38"/>
    <mergeCell ref="C39:E39"/>
    <mergeCell ref="A46:B46"/>
    <mergeCell ref="C47:E47"/>
    <mergeCell ref="A54:B54"/>
    <mergeCell ref="A75:B75"/>
    <mergeCell ref="A60:B60"/>
    <mergeCell ref="C61:E61"/>
    <mergeCell ref="A65:B65"/>
    <mergeCell ref="C66:E66"/>
    <mergeCell ref="A73:B73"/>
    <mergeCell ref="A74:E7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topLeftCell="A35" workbookViewId="0">
      <selection activeCell="F48" sqref="F48"/>
    </sheetView>
  </sheetViews>
  <sheetFormatPr defaultColWidth="9.140625" defaultRowHeight="15" x14ac:dyDescent="0.25"/>
  <cols>
    <col min="1" max="1" width="3.85546875" style="123" customWidth="1"/>
    <col min="2" max="2" width="19.85546875" style="123" customWidth="1"/>
    <col min="3" max="3" width="8" style="123" customWidth="1"/>
    <col min="4" max="4" width="11" style="123" customWidth="1"/>
    <col min="5" max="5" width="14.28515625" style="123" bestFit="1" customWidth="1"/>
    <col min="6" max="6" width="19.7109375" style="123" customWidth="1"/>
    <col min="7" max="7" width="14.85546875" style="123" customWidth="1"/>
    <col min="8" max="8" width="12.85546875" style="123" bestFit="1" customWidth="1"/>
    <col min="9" max="9" width="9.140625" style="123"/>
    <col min="10" max="10" width="14" style="123" bestFit="1" customWidth="1"/>
    <col min="11" max="11" width="10" style="123" customWidth="1"/>
    <col min="12" max="12" width="12.7109375" style="123" customWidth="1"/>
    <col min="13" max="13" width="11" style="123" bestFit="1" customWidth="1"/>
    <col min="14" max="14" width="15.28515625" style="123" customWidth="1"/>
    <col min="15" max="16384" width="9.140625" style="123"/>
  </cols>
  <sheetData>
    <row r="1" spans="1:8" ht="30.75" x14ac:dyDescent="0.25">
      <c r="A1" s="1139" t="s">
        <v>0</v>
      </c>
      <c r="B1" s="1139"/>
      <c r="C1" s="1139"/>
      <c r="D1" s="1139"/>
      <c r="E1" s="1139"/>
      <c r="F1" s="1139"/>
      <c r="G1" s="1139"/>
      <c r="H1" s="1139"/>
    </row>
    <row r="2" spans="1:8" ht="25.5" x14ac:dyDescent="0.25">
      <c r="A2" s="1140" t="s">
        <v>76</v>
      </c>
      <c r="B2" s="1140"/>
      <c r="C2" s="1140"/>
      <c r="D2" s="1140"/>
      <c r="E2" s="1140"/>
      <c r="F2" s="1140"/>
      <c r="G2" s="1140"/>
      <c r="H2" s="1140"/>
    </row>
    <row r="3" spans="1:8" ht="22.5" x14ac:dyDescent="0.25">
      <c r="A3" s="1141" t="str">
        <f>'Major Front'!A3:KH3</f>
        <v>Financial Year 2023-24</v>
      </c>
      <c r="B3" s="1141"/>
      <c r="C3" s="1141"/>
      <c r="D3" s="1141"/>
      <c r="E3" s="1141"/>
      <c r="F3" s="1141"/>
      <c r="G3" s="1141"/>
      <c r="H3" s="1141"/>
    </row>
    <row r="4" spans="1:8" s="672" customFormat="1" ht="16.5" customHeight="1" x14ac:dyDescent="0.25">
      <c r="A4" s="671"/>
      <c r="B4" s="671"/>
      <c r="C4" s="671"/>
      <c r="D4" s="671"/>
      <c r="E4" s="671"/>
      <c r="F4" s="671"/>
      <c r="G4" s="671"/>
      <c r="H4" s="671"/>
    </row>
    <row r="5" spans="1:8" s="672" customFormat="1" ht="18.75" x14ac:dyDescent="0.25">
      <c r="A5" s="1121" t="s">
        <v>465</v>
      </c>
      <c r="B5" s="1121"/>
      <c r="C5" s="1121"/>
      <c r="D5" s="1121"/>
      <c r="E5" s="1121"/>
      <c r="F5" s="1121"/>
      <c r="G5" s="1121"/>
      <c r="H5" s="1121"/>
    </row>
    <row r="6" spans="1:8" s="672" customFormat="1" ht="15" customHeight="1" x14ac:dyDescent="0.25">
      <c r="A6" s="1122" t="s">
        <v>2</v>
      </c>
      <c r="B6" s="1124" t="s">
        <v>77</v>
      </c>
      <c r="C6" s="249" t="s">
        <v>4</v>
      </c>
      <c r="D6" s="249" t="s">
        <v>5</v>
      </c>
      <c r="E6" s="249" t="s">
        <v>6</v>
      </c>
      <c r="F6" s="249" t="s">
        <v>7</v>
      </c>
      <c r="G6" s="249" t="s">
        <v>8</v>
      </c>
      <c r="H6" s="249" t="s">
        <v>9</v>
      </c>
    </row>
    <row r="7" spans="1:8" s="672" customFormat="1" x14ac:dyDescent="0.25">
      <c r="A7" s="1123"/>
      <c r="B7" s="1125"/>
      <c r="C7" s="2" t="s">
        <v>10</v>
      </c>
      <c r="D7" s="2" t="s">
        <v>78</v>
      </c>
      <c r="E7" s="2" t="s">
        <v>79</v>
      </c>
      <c r="F7" s="52" t="s">
        <v>80</v>
      </c>
      <c r="G7" s="52" t="s">
        <v>80</v>
      </c>
      <c r="H7" s="2" t="s">
        <v>13</v>
      </c>
    </row>
    <row r="8" spans="1:8" s="672" customFormat="1" x14ac:dyDescent="0.25">
      <c r="A8" s="166">
        <v>1</v>
      </c>
      <c r="B8" s="19" t="s">
        <v>81</v>
      </c>
      <c r="C8" s="166">
        <f>'Office Major'!C56</f>
        <v>0</v>
      </c>
      <c r="D8" s="166">
        <f>'Office Major'!D56</f>
        <v>0</v>
      </c>
      <c r="E8" s="166">
        <f>'Office Major'!E56</f>
        <v>0</v>
      </c>
      <c r="F8" s="166">
        <f>'Office Major'!F56</f>
        <v>0</v>
      </c>
      <c r="G8" s="166">
        <f>'Office Major'!G56</f>
        <v>0</v>
      </c>
      <c r="H8" s="166">
        <f>'Office Major'!H56</f>
        <v>0</v>
      </c>
    </row>
    <row r="9" spans="1:8" s="672" customFormat="1" x14ac:dyDescent="0.25">
      <c r="A9" s="1126" t="s">
        <v>50</v>
      </c>
      <c r="B9" s="1126"/>
      <c r="C9" s="259">
        <f t="shared" ref="C9:H9" si="0">SUM(C7:C8)</f>
        <v>0</v>
      </c>
      <c r="D9" s="260">
        <f t="shared" si="0"/>
        <v>0</v>
      </c>
      <c r="E9" s="406">
        <f t="shared" si="0"/>
        <v>0</v>
      </c>
      <c r="F9" s="261">
        <f t="shared" si="0"/>
        <v>0</v>
      </c>
      <c r="G9" s="261">
        <f t="shared" si="0"/>
        <v>0</v>
      </c>
      <c r="H9" s="259">
        <f t="shared" si="0"/>
        <v>0</v>
      </c>
    </row>
    <row r="10" spans="1:8" s="672" customFormat="1" x14ac:dyDescent="0.25">
      <c r="A10" s="633"/>
      <c r="B10" s="633"/>
      <c r="C10" s="408"/>
      <c r="D10" s="409"/>
      <c r="E10" s="410"/>
      <c r="F10" s="411"/>
      <c r="G10" s="411"/>
      <c r="H10" s="408"/>
    </row>
    <row r="11" spans="1:8" ht="18.75" x14ac:dyDescent="0.3">
      <c r="A11" s="1142" t="s">
        <v>15</v>
      </c>
      <c r="B11" s="1142"/>
      <c r="C11" s="1142"/>
      <c r="D11" s="1142"/>
      <c r="E11" s="1142"/>
      <c r="F11" s="1142"/>
      <c r="G11" s="1142"/>
      <c r="H11" s="1142"/>
    </row>
    <row r="12" spans="1:8" s="393" customFormat="1" ht="17.100000000000001" customHeight="1" x14ac:dyDescent="0.25">
      <c r="A12" s="1122" t="s">
        <v>2</v>
      </c>
      <c r="B12" s="1124" t="s">
        <v>77</v>
      </c>
      <c r="C12" s="249" t="s">
        <v>4</v>
      </c>
      <c r="D12" s="249" t="s">
        <v>5</v>
      </c>
      <c r="E12" s="249" t="s">
        <v>6</v>
      </c>
      <c r="F12" s="249" t="s">
        <v>7</v>
      </c>
      <c r="G12" s="249" t="s">
        <v>8</v>
      </c>
      <c r="H12" s="249" t="s">
        <v>9</v>
      </c>
    </row>
    <row r="13" spans="1:8" s="393" customFormat="1" ht="17.100000000000001" customHeight="1" x14ac:dyDescent="0.25">
      <c r="A13" s="1123"/>
      <c r="B13" s="1125"/>
      <c r="C13" s="2" t="s">
        <v>10</v>
      </c>
      <c r="D13" s="2" t="s">
        <v>78</v>
      </c>
      <c r="E13" s="2" t="s">
        <v>79</v>
      </c>
      <c r="F13" s="52" t="s">
        <v>80</v>
      </c>
      <c r="G13" s="52" t="s">
        <v>80</v>
      </c>
      <c r="H13" s="2" t="s">
        <v>13</v>
      </c>
    </row>
    <row r="14" spans="1:8" s="393" customFormat="1" ht="17.100000000000001" customHeight="1" x14ac:dyDescent="0.25">
      <c r="A14" s="166">
        <v>1</v>
      </c>
      <c r="B14" s="19" t="s">
        <v>81</v>
      </c>
      <c r="C14" s="279">
        <f>'Office Major'!C62</f>
        <v>0</v>
      </c>
      <c r="D14" s="279">
        <f>'Office Major'!D62</f>
        <v>0</v>
      </c>
      <c r="E14" s="279">
        <f>'Office Major'!E62</f>
        <v>0</v>
      </c>
      <c r="F14" s="279">
        <f>'Office Major'!F62</f>
        <v>0</v>
      </c>
      <c r="G14" s="279">
        <f>'Office Major'!G62</f>
        <v>0</v>
      </c>
      <c r="H14" s="279">
        <f>'Office Major'!H62</f>
        <v>0</v>
      </c>
    </row>
    <row r="15" spans="1:8" s="393" customFormat="1" ht="17.100000000000001" customHeight="1" x14ac:dyDescent="0.25">
      <c r="A15" s="166">
        <v>2</v>
      </c>
      <c r="B15" s="19" t="s">
        <v>82</v>
      </c>
      <c r="C15" s="279">
        <f>'Office Major'!C179</f>
        <v>0</v>
      </c>
      <c r="D15" s="279">
        <f>'Office Major'!D179</f>
        <v>0</v>
      </c>
      <c r="E15" s="279">
        <f>'Office Major'!E179</f>
        <v>0</v>
      </c>
      <c r="F15" s="279">
        <f>'Office Major'!F179</f>
        <v>0</v>
      </c>
      <c r="G15" s="279">
        <f>'Office Major'!G179</f>
        <v>0</v>
      </c>
      <c r="H15" s="279">
        <f>'Office Major'!H179</f>
        <v>0</v>
      </c>
    </row>
    <row r="16" spans="1:8" s="393" customFormat="1" ht="17.100000000000001" customHeight="1" x14ac:dyDescent="0.25">
      <c r="A16" s="166">
        <v>3</v>
      </c>
      <c r="B16" s="19" t="s">
        <v>83</v>
      </c>
      <c r="C16" s="166">
        <f>'Office Major'!C228</f>
        <v>0</v>
      </c>
      <c r="D16" s="166">
        <f>'Office Major'!D228</f>
        <v>0</v>
      </c>
      <c r="E16" s="166">
        <f>'Office Major'!E228</f>
        <v>0</v>
      </c>
      <c r="F16" s="166">
        <f>'Office Major'!F228</f>
        <v>0</v>
      </c>
      <c r="G16" s="166">
        <f>'Office Major'!G228</f>
        <v>0</v>
      </c>
      <c r="H16" s="166">
        <f>'Office Major'!H228</f>
        <v>0</v>
      </c>
    </row>
    <row r="17" spans="1:8" s="393" customFormat="1" ht="17.100000000000001" customHeight="1" x14ac:dyDescent="0.25">
      <c r="A17" s="1136" t="s">
        <v>50</v>
      </c>
      <c r="B17" s="1137"/>
      <c r="C17" s="259">
        <f t="shared" ref="C17:H17" si="1">SUM(C14:C16)</f>
        <v>0</v>
      </c>
      <c r="D17" s="260">
        <f t="shared" si="1"/>
        <v>0</v>
      </c>
      <c r="E17" s="406">
        <f t="shared" si="1"/>
        <v>0</v>
      </c>
      <c r="F17" s="261">
        <f t="shared" si="1"/>
        <v>0</v>
      </c>
      <c r="G17" s="261">
        <f t="shared" si="1"/>
        <v>0</v>
      </c>
      <c r="H17" s="259">
        <f t="shared" si="1"/>
        <v>0</v>
      </c>
    </row>
    <row r="18" spans="1:8" s="393" customFormat="1" ht="17.100000000000001" customHeight="1" x14ac:dyDescent="0.25">
      <c r="A18" s="407"/>
      <c r="B18" s="407"/>
      <c r="C18" s="408"/>
      <c r="D18" s="409"/>
      <c r="E18" s="410"/>
      <c r="F18" s="411"/>
      <c r="G18" s="411"/>
      <c r="H18" s="408"/>
    </row>
    <row r="19" spans="1:8" s="393" customFormat="1" ht="17.100000000000001" customHeight="1" x14ac:dyDescent="0.25">
      <c r="A19" s="1121" t="s">
        <v>462</v>
      </c>
      <c r="B19" s="1121"/>
      <c r="C19" s="1121"/>
      <c r="D19" s="1121"/>
      <c r="E19" s="1121"/>
      <c r="F19" s="1121"/>
      <c r="G19" s="1121"/>
      <c r="H19" s="1121"/>
    </row>
    <row r="20" spans="1:8" s="393" customFormat="1" ht="17.100000000000001" customHeight="1" x14ac:dyDescent="0.25">
      <c r="A20" s="124"/>
      <c r="B20" s="124"/>
      <c r="C20" s="40"/>
      <c r="D20" s="134"/>
      <c r="E20" s="124"/>
      <c r="F20" s="124"/>
      <c r="G20" s="124"/>
      <c r="H20" s="124"/>
    </row>
    <row r="21" spans="1:8" s="393" customFormat="1" ht="17.100000000000001" customHeight="1" x14ac:dyDescent="0.25">
      <c r="A21" s="1122" t="s">
        <v>2</v>
      </c>
      <c r="B21" s="1124" t="s">
        <v>77</v>
      </c>
      <c r="C21" s="249" t="s">
        <v>4</v>
      </c>
      <c r="D21" s="249" t="s">
        <v>5</v>
      </c>
      <c r="E21" s="249" t="s">
        <v>6</v>
      </c>
      <c r="F21" s="249" t="s">
        <v>7</v>
      </c>
      <c r="G21" s="249" t="s">
        <v>8</v>
      </c>
      <c r="H21" s="249" t="s">
        <v>9</v>
      </c>
    </row>
    <row r="22" spans="1:8" s="393" customFormat="1" ht="17.100000000000001" customHeight="1" x14ac:dyDescent="0.25">
      <c r="A22" s="1123"/>
      <c r="B22" s="1125"/>
      <c r="C22" s="2" t="s">
        <v>10</v>
      </c>
      <c r="D22" s="2" t="s">
        <v>78</v>
      </c>
      <c r="E22" s="2" t="s">
        <v>79</v>
      </c>
      <c r="F22" s="52" t="s">
        <v>80</v>
      </c>
      <c r="G22" s="52" t="s">
        <v>80</v>
      </c>
      <c r="H22" s="2" t="s">
        <v>13</v>
      </c>
    </row>
    <row r="23" spans="1:8" s="393" customFormat="1" ht="17.100000000000001" customHeight="1" x14ac:dyDescent="0.25">
      <c r="A23" s="166">
        <v>1</v>
      </c>
      <c r="B23" s="19" t="s">
        <v>92</v>
      </c>
      <c r="C23" s="166">
        <f>'Office Major'!C15</f>
        <v>2</v>
      </c>
      <c r="D23" s="166">
        <f>'Office Major'!D15</f>
        <v>9.8000000000000007</v>
      </c>
      <c r="E23" s="166">
        <f>'Office Major'!E15</f>
        <v>0</v>
      </c>
      <c r="F23" s="166">
        <f>'Office Major'!F15</f>
        <v>0</v>
      </c>
      <c r="G23" s="166">
        <f>'Office Major'!G15</f>
        <v>0</v>
      </c>
      <c r="H23" s="166">
        <f>'Office Major'!H15</f>
        <v>0</v>
      </c>
    </row>
    <row r="24" spans="1:8" s="393" customFormat="1" ht="17.100000000000001" customHeight="1" x14ac:dyDescent="0.25">
      <c r="A24" s="1126" t="s">
        <v>50</v>
      </c>
      <c r="B24" s="1126"/>
      <c r="C24" s="259">
        <f t="shared" ref="C24:H24" si="2">SUM(C22:C23)</f>
        <v>2</v>
      </c>
      <c r="D24" s="260">
        <f t="shared" si="2"/>
        <v>9.8000000000000007</v>
      </c>
      <c r="E24" s="406">
        <f t="shared" si="2"/>
        <v>0</v>
      </c>
      <c r="F24" s="261">
        <f t="shared" si="2"/>
        <v>0</v>
      </c>
      <c r="G24" s="261">
        <f t="shared" si="2"/>
        <v>0</v>
      </c>
      <c r="H24" s="259">
        <f t="shared" si="2"/>
        <v>0</v>
      </c>
    </row>
    <row r="25" spans="1:8" s="393" customFormat="1" ht="17.100000000000001" customHeight="1" x14ac:dyDescent="0.25">
      <c r="A25" s="633"/>
      <c r="B25" s="633"/>
      <c r="C25" s="408"/>
      <c r="D25" s="409"/>
      <c r="E25" s="410"/>
      <c r="F25" s="411"/>
      <c r="G25" s="411"/>
      <c r="H25" s="408"/>
    </row>
    <row r="26" spans="1:8" s="393" customFormat="1" ht="17.100000000000001" customHeight="1" x14ac:dyDescent="0.25">
      <c r="A26" s="1121" t="s">
        <v>396</v>
      </c>
      <c r="B26" s="1121"/>
      <c r="C26" s="1121"/>
      <c r="D26" s="1121"/>
      <c r="E26" s="1121"/>
      <c r="F26" s="1121"/>
      <c r="G26" s="1121"/>
      <c r="H26" s="1121"/>
    </row>
    <row r="27" spans="1:8" s="393" customFormat="1" ht="17.100000000000001" customHeight="1" x14ac:dyDescent="0.25">
      <c r="A27" s="124"/>
      <c r="B27" s="124"/>
      <c r="C27" s="40"/>
      <c r="D27" s="134"/>
      <c r="E27" s="124"/>
      <c r="F27" s="124"/>
      <c r="G27" s="124"/>
      <c r="H27" s="124"/>
    </row>
    <row r="28" spans="1:8" s="393" customFormat="1" ht="17.100000000000001" customHeight="1" x14ac:dyDescent="0.25">
      <c r="A28" s="1122" t="s">
        <v>2</v>
      </c>
      <c r="B28" s="1124" t="s">
        <v>77</v>
      </c>
      <c r="C28" s="249" t="s">
        <v>4</v>
      </c>
      <c r="D28" s="249" t="s">
        <v>5</v>
      </c>
      <c r="E28" s="249" t="s">
        <v>6</v>
      </c>
      <c r="F28" s="249" t="s">
        <v>7</v>
      </c>
      <c r="G28" s="249" t="s">
        <v>8</v>
      </c>
      <c r="H28" s="249" t="s">
        <v>9</v>
      </c>
    </row>
    <row r="29" spans="1:8" s="393" customFormat="1" ht="17.100000000000001" customHeight="1" x14ac:dyDescent="0.25">
      <c r="A29" s="1123"/>
      <c r="B29" s="1125"/>
      <c r="C29" s="2" t="s">
        <v>10</v>
      </c>
      <c r="D29" s="2" t="s">
        <v>78</v>
      </c>
      <c r="E29" s="2" t="s">
        <v>79</v>
      </c>
      <c r="F29" s="52" t="s">
        <v>80</v>
      </c>
      <c r="G29" s="52" t="s">
        <v>80</v>
      </c>
      <c r="H29" s="2" t="s">
        <v>13</v>
      </c>
    </row>
    <row r="30" spans="1:8" s="393" customFormat="1" ht="17.100000000000001" customHeight="1" x14ac:dyDescent="0.25">
      <c r="A30" s="166">
        <v>1</v>
      </c>
      <c r="B30" s="19" t="s">
        <v>83</v>
      </c>
      <c r="C30" s="166">
        <f>'Office Major'!C227</f>
        <v>1</v>
      </c>
      <c r="D30" s="166">
        <f>'Office Major'!D227</f>
        <v>123.2</v>
      </c>
      <c r="E30" s="166">
        <f>'Office Major'!E227</f>
        <v>0</v>
      </c>
      <c r="F30" s="166">
        <f>'Office Major'!F227</f>
        <v>0</v>
      </c>
      <c r="G30" s="166">
        <f>'Office Major'!G227</f>
        <v>251400</v>
      </c>
      <c r="H30" s="166">
        <f>'Office Major'!H227</f>
        <v>0</v>
      </c>
    </row>
    <row r="31" spans="1:8" s="393" customFormat="1" ht="17.100000000000001" customHeight="1" x14ac:dyDescent="0.25">
      <c r="A31" s="1126" t="s">
        <v>50</v>
      </c>
      <c r="B31" s="1126"/>
      <c r="C31" s="259">
        <f t="shared" ref="C31:H31" si="3">SUM(C29:C30)</f>
        <v>1</v>
      </c>
      <c r="D31" s="260">
        <f t="shared" si="3"/>
        <v>123.2</v>
      </c>
      <c r="E31" s="406">
        <f t="shared" si="3"/>
        <v>0</v>
      </c>
      <c r="F31" s="261">
        <f t="shared" si="3"/>
        <v>0</v>
      </c>
      <c r="G31" s="261">
        <f t="shared" si="3"/>
        <v>251400</v>
      </c>
      <c r="H31" s="259">
        <f t="shared" si="3"/>
        <v>0</v>
      </c>
    </row>
    <row r="32" spans="1:8" s="393" customFormat="1" ht="17.100000000000001" customHeight="1" x14ac:dyDescent="0.25">
      <c r="A32" s="407"/>
      <c r="B32" s="407"/>
      <c r="C32" s="408"/>
      <c r="D32" s="409"/>
      <c r="E32" s="410"/>
      <c r="F32" s="411"/>
      <c r="G32" s="411"/>
      <c r="H32" s="408"/>
    </row>
    <row r="33" spans="1:8" s="393" customFormat="1" ht="17.100000000000001" customHeight="1" x14ac:dyDescent="0.25">
      <c r="A33" s="1138" t="s">
        <v>466</v>
      </c>
      <c r="B33" s="1138"/>
      <c r="C33" s="1138"/>
      <c r="D33" s="1138"/>
      <c r="E33" s="1138"/>
      <c r="F33" s="1138"/>
      <c r="G33" s="1138"/>
      <c r="H33" s="1138"/>
    </row>
    <row r="34" spans="1:8" s="393" customFormat="1" ht="17.100000000000001" customHeight="1" x14ac:dyDescent="0.25">
      <c r="A34" s="1122" t="s">
        <v>2</v>
      </c>
      <c r="B34" s="1124" t="s">
        <v>77</v>
      </c>
      <c r="C34" s="249" t="s">
        <v>4</v>
      </c>
      <c r="D34" s="249" t="s">
        <v>5</v>
      </c>
      <c r="E34" s="249" t="s">
        <v>6</v>
      </c>
      <c r="F34" s="249" t="s">
        <v>7</v>
      </c>
      <c r="G34" s="249" t="s">
        <v>8</v>
      </c>
      <c r="H34" s="249" t="s">
        <v>9</v>
      </c>
    </row>
    <row r="35" spans="1:8" s="393" customFormat="1" ht="17.100000000000001" customHeight="1" x14ac:dyDescent="0.25">
      <c r="A35" s="1123"/>
      <c r="B35" s="1125"/>
      <c r="C35" s="2" t="s">
        <v>10</v>
      </c>
      <c r="D35" s="2" t="s">
        <v>78</v>
      </c>
      <c r="E35" s="2" t="s">
        <v>79</v>
      </c>
      <c r="F35" s="52" t="s">
        <v>80</v>
      </c>
      <c r="G35" s="52" t="s">
        <v>80</v>
      </c>
      <c r="H35" s="2" t="s">
        <v>13</v>
      </c>
    </row>
    <row r="36" spans="1:8" s="393" customFormat="1" ht="17.100000000000001" customHeight="1" x14ac:dyDescent="0.25">
      <c r="A36" s="166">
        <v>1</v>
      </c>
      <c r="B36" s="19" t="s">
        <v>467</v>
      </c>
      <c r="C36" s="632">
        <f>'Office Major'!C146</f>
        <v>1</v>
      </c>
      <c r="D36" s="632">
        <f>'Office Major'!D146</f>
        <v>4.05</v>
      </c>
      <c r="E36" s="632">
        <f>'Office Major'!E146</f>
        <v>0</v>
      </c>
      <c r="F36" s="632">
        <f>'Office Major'!F146</f>
        <v>0</v>
      </c>
      <c r="G36" s="632">
        <f>'Office Major'!G146</f>
        <v>4052</v>
      </c>
      <c r="H36" s="632">
        <f>'Office Major'!H146</f>
        <v>0</v>
      </c>
    </row>
    <row r="37" spans="1:8" s="393" customFormat="1" ht="17.100000000000001" customHeight="1" x14ac:dyDescent="0.25">
      <c r="A37" s="1136" t="s">
        <v>50</v>
      </c>
      <c r="B37" s="1137"/>
      <c r="C37" s="259">
        <f t="shared" ref="C37:H37" si="4">SUM(C36:C36)</f>
        <v>1</v>
      </c>
      <c r="D37" s="260">
        <f t="shared" si="4"/>
        <v>4.05</v>
      </c>
      <c r="E37" s="261">
        <f t="shared" si="4"/>
        <v>0</v>
      </c>
      <c r="F37" s="261">
        <f t="shared" si="4"/>
        <v>0</v>
      </c>
      <c r="G37" s="261">
        <f t="shared" si="4"/>
        <v>4052</v>
      </c>
      <c r="H37" s="259">
        <f t="shared" si="4"/>
        <v>0</v>
      </c>
    </row>
    <row r="38" spans="1:8" s="393" customFormat="1" ht="17.100000000000001" customHeight="1" x14ac:dyDescent="0.25">
      <c r="A38" s="633"/>
      <c r="B38" s="633"/>
      <c r="C38" s="408"/>
      <c r="D38" s="409"/>
      <c r="E38" s="411"/>
      <c r="F38" s="411"/>
      <c r="G38" s="411"/>
      <c r="H38" s="408"/>
    </row>
    <row r="39" spans="1:8" s="393" customFormat="1" ht="17.100000000000001" customHeight="1" x14ac:dyDescent="0.25">
      <c r="A39" s="1138" t="s">
        <v>464</v>
      </c>
      <c r="B39" s="1138"/>
      <c r="C39" s="1138"/>
      <c r="D39" s="1138"/>
      <c r="E39" s="1138"/>
      <c r="F39" s="1138"/>
      <c r="G39" s="1138"/>
      <c r="H39" s="1138"/>
    </row>
    <row r="40" spans="1:8" s="393" customFormat="1" ht="17.100000000000001" customHeight="1" x14ac:dyDescent="0.25">
      <c r="A40" s="1122" t="s">
        <v>2</v>
      </c>
      <c r="B40" s="1124" t="s">
        <v>77</v>
      </c>
      <c r="C40" s="249" t="s">
        <v>4</v>
      </c>
      <c r="D40" s="249" t="s">
        <v>5</v>
      </c>
      <c r="E40" s="249" t="s">
        <v>6</v>
      </c>
      <c r="F40" s="249" t="s">
        <v>7</v>
      </c>
      <c r="G40" s="249" t="s">
        <v>8</v>
      </c>
      <c r="H40" s="249" t="s">
        <v>9</v>
      </c>
    </row>
    <row r="41" spans="1:8" s="393" customFormat="1" ht="17.100000000000001" customHeight="1" x14ac:dyDescent="0.25">
      <c r="A41" s="1123"/>
      <c r="B41" s="1125"/>
      <c r="C41" s="2" t="s">
        <v>10</v>
      </c>
      <c r="D41" s="2" t="s">
        <v>78</v>
      </c>
      <c r="E41" s="2" t="s">
        <v>79</v>
      </c>
      <c r="F41" s="52" t="s">
        <v>80</v>
      </c>
      <c r="G41" s="52" t="s">
        <v>80</v>
      </c>
      <c r="H41" s="2" t="s">
        <v>13</v>
      </c>
    </row>
    <row r="42" spans="1:8" s="393" customFormat="1" ht="17.100000000000001" customHeight="1" x14ac:dyDescent="0.25">
      <c r="A42" s="166">
        <v>1</v>
      </c>
      <c r="B42" s="19" t="s">
        <v>92</v>
      </c>
      <c r="C42" s="204">
        <f>'Office Major'!C16</f>
        <v>1</v>
      </c>
      <c r="D42" s="204">
        <f>'Office Major'!D16</f>
        <v>46.32</v>
      </c>
      <c r="E42" s="204">
        <f>'Office Major'!E16</f>
        <v>0</v>
      </c>
      <c r="F42" s="204">
        <f>'Office Major'!F16</f>
        <v>0</v>
      </c>
      <c r="G42" s="204">
        <f>'Office Major'!G16</f>
        <v>370560</v>
      </c>
      <c r="H42" s="204">
        <f>'Office Major'!H16</f>
        <v>0</v>
      </c>
    </row>
    <row r="43" spans="1:8" s="393" customFormat="1" ht="17.100000000000001" customHeight="1" x14ac:dyDescent="0.25">
      <c r="A43" s="1143" t="s">
        <v>50</v>
      </c>
      <c r="B43" s="1144"/>
      <c r="C43" s="634">
        <f t="shared" ref="C43:H43" si="5">SUM(C42:C42)</f>
        <v>1</v>
      </c>
      <c r="D43" s="635">
        <f t="shared" si="5"/>
        <v>46.32</v>
      </c>
      <c r="E43" s="636">
        <f t="shared" si="5"/>
        <v>0</v>
      </c>
      <c r="F43" s="636">
        <f t="shared" si="5"/>
        <v>0</v>
      </c>
      <c r="G43" s="636">
        <f t="shared" si="5"/>
        <v>370560</v>
      </c>
      <c r="H43" s="634">
        <f t="shared" si="5"/>
        <v>0</v>
      </c>
    </row>
    <row r="44" spans="1:8" s="393" customFormat="1" ht="17.100000000000001" customHeight="1" x14ac:dyDescent="0.25">
      <c r="A44" s="637"/>
      <c r="B44" s="637"/>
      <c r="C44" s="638"/>
      <c r="D44" s="639"/>
      <c r="E44" s="640"/>
      <c r="F44" s="640"/>
      <c r="G44" s="640"/>
      <c r="H44" s="638"/>
    </row>
    <row r="45" spans="1:8" s="393" customFormat="1" ht="17.100000000000001" customHeight="1" x14ac:dyDescent="0.25">
      <c r="A45" s="1138" t="s">
        <v>16</v>
      </c>
      <c r="B45" s="1138"/>
      <c r="C45" s="1138"/>
      <c r="D45" s="1138"/>
      <c r="E45" s="1138"/>
      <c r="F45" s="1138"/>
      <c r="G45" s="1138"/>
      <c r="H45" s="1138"/>
    </row>
    <row r="46" spans="1:8" s="393" customFormat="1" ht="17.100000000000001" customHeight="1" x14ac:dyDescent="0.25">
      <c r="A46" s="1122" t="s">
        <v>2</v>
      </c>
      <c r="B46" s="1124" t="s">
        <v>77</v>
      </c>
      <c r="C46" s="249" t="s">
        <v>4</v>
      </c>
      <c r="D46" s="249" t="s">
        <v>5</v>
      </c>
      <c r="E46" s="249" t="s">
        <v>6</v>
      </c>
      <c r="F46" s="249" t="s">
        <v>7</v>
      </c>
      <c r="G46" s="249" t="s">
        <v>8</v>
      </c>
      <c r="H46" s="249" t="s">
        <v>9</v>
      </c>
    </row>
    <row r="47" spans="1:8" s="393" customFormat="1" ht="17.100000000000001" customHeight="1" x14ac:dyDescent="0.25">
      <c r="A47" s="1123"/>
      <c r="B47" s="1125"/>
      <c r="C47" s="2" t="s">
        <v>10</v>
      </c>
      <c r="D47" s="2" t="s">
        <v>78</v>
      </c>
      <c r="E47" s="2" t="s">
        <v>79</v>
      </c>
      <c r="F47" s="52" t="s">
        <v>80</v>
      </c>
      <c r="G47" s="52" t="s">
        <v>80</v>
      </c>
      <c r="H47" s="2" t="s">
        <v>13</v>
      </c>
    </row>
    <row r="48" spans="1:8" s="393" customFormat="1" ht="17.100000000000001" customHeight="1" x14ac:dyDescent="0.25">
      <c r="A48" s="166">
        <v>1</v>
      </c>
      <c r="B48" s="214" t="s">
        <v>84</v>
      </c>
      <c r="C48" s="204">
        <f>'Office Major'!C123</f>
        <v>3</v>
      </c>
      <c r="D48" s="204">
        <f>'Office Major'!D123</f>
        <v>706.75</v>
      </c>
      <c r="E48" s="204">
        <f>'Office Major'!E123</f>
        <v>867904</v>
      </c>
      <c r="F48" s="204">
        <f>'Office Major'!F123</f>
        <v>2473526400</v>
      </c>
      <c r="G48" s="204">
        <f>'Office Major'!G123</f>
        <v>469878000</v>
      </c>
      <c r="H48" s="204">
        <f>'Office Major'!H123</f>
        <v>1760</v>
      </c>
    </row>
    <row r="49" spans="1:8" s="393" customFormat="1" ht="17.100000000000001" customHeight="1" x14ac:dyDescent="0.25">
      <c r="A49" s="627">
        <v>2</v>
      </c>
      <c r="B49" s="445" t="s">
        <v>651</v>
      </c>
      <c r="C49" s="204">
        <f>'Office Major'!C201</f>
        <v>1</v>
      </c>
      <c r="D49" s="204">
        <f>'Office Major'!D201</f>
        <v>63</v>
      </c>
      <c r="E49" s="204">
        <f>'Office Major'!E201</f>
        <v>3028</v>
      </c>
      <c r="F49" s="204">
        <f>'Office Major'!F201</f>
        <v>756822</v>
      </c>
      <c r="G49" s="204">
        <f>'Office Major'!G201</f>
        <v>378000</v>
      </c>
      <c r="H49" s="204">
        <f>'Office Major'!H201</f>
        <v>0</v>
      </c>
    </row>
    <row r="50" spans="1:8" s="393" customFormat="1" ht="17.100000000000001" customHeight="1" x14ac:dyDescent="0.25">
      <c r="A50" s="1136" t="s">
        <v>50</v>
      </c>
      <c r="B50" s="1137"/>
      <c r="C50" s="259">
        <f>SUM(C48:C49)</f>
        <v>4</v>
      </c>
      <c r="D50" s="259">
        <f t="shared" ref="D50:H50" si="6">SUM(D48:D49)</f>
        <v>769.75</v>
      </c>
      <c r="E50" s="259">
        <f t="shared" si="6"/>
        <v>870932</v>
      </c>
      <c r="F50" s="259">
        <f t="shared" si="6"/>
        <v>2474283222</v>
      </c>
      <c r="G50" s="259">
        <f t="shared" si="6"/>
        <v>470256000</v>
      </c>
      <c r="H50" s="259">
        <f t="shared" si="6"/>
        <v>1760</v>
      </c>
    </row>
    <row r="51" spans="1:8" s="393" customFormat="1" ht="17.100000000000001" customHeight="1" x14ac:dyDescent="0.25">
      <c r="A51" s="124"/>
      <c r="B51" s="124"/>
      <c r="C51" s="40"/>
      <c r="D51" s="134"/>
      <c r="E51" s="124"/>
      <c r="F51" s="124"/>
      <c r="G51" s="124"/>
      <c r="H51" s="124"/>
    </row>
    <row r="52" spans="1:8" s="393" customFormat="1" ht="17.100000000000001" customHeight="1" x14ac:dyDescent="0.25">
      <c r="A52" s="1138" t="s">
        <v>85</v>
      </c>
      <c r="B52" s="1138"/>
      <c r="C52" s="1138"/>
      <c r="D52" s="1138"/>
      <c r="E52" s="1138"/>
      <c r="F52" s="1138"/>
      <c r="G52" s="1138"/>
      <c r="H52" s="1138"/>
    </row>
    <row r="53" spans="1:8" s="393" customFormat="1" ht="17.100000000000001" customHeight="1" x14ac:dyDescent="0.25">
      <c r="A53" s="1122" t="s">
        <v>2</v>
      </c>
      <c r="B53" s="1124" t="s">
        <v>77</v>
      </c>
      <c r="C53" s="249" t="s">
        <v>4</v>
      </c>
      <c r="D53" s="249" t="s">
        <v>5</v>
      </c>
      <c r="E53" s="249" t="s">
        <v>6</v>
      </c>
      <c r="F53" s="249" t="s">
        <v>7</v>
      </c>
      <c r="G53" s="249" t="s">
        <v>8</v>
      </c>
      <c r="H53" s="249" t="s">
        <v>9</v>
      </c>
    </row>
    <row r="54" spans="1:8" s="393" customFormat="1" ht="17.100000000000001" customHeight="1" x14ac:dyDescent="0.25">
      <c r="A54" s="1123"/>
      <c r="B54" s="1125"/>
      <c r="C54" s="2" t="s">
        <v>10</v>
      </c>
      <c r="D54" s="2" t="s">
        <v>78</v>
      </c>
      <c r="E54" s="2" t="s">
        <v>79</v>
      </c>
      <c r="F54" s="52" t="s">
        <v>80</v>
      </c>
      <c r="G54" s="52" t="s">
        <v>80</v>
      </c>
      <c r="H54" s="2" t="s">
        <v>13</v>
      </c>
    </row>
    <row r="55" spans="1:8" s="393" customFormat="1" ht="17.100000000000001" customHeight="1" x14ac:dyDescent="0.25">
      <c r="A55" s="166">
        <v>1</v>
      </c>
      <c r="B55" s="214" t="s">
        <v>86</v>
      </c>
      <c r="C55" s="166">
        <f>'Office Major'!C26</f>
        <v>0</v>
      </c>
      <c r="D55" s="166">
        <f>'Office Major'!D26</f>
        <v>0</v>
      </c>
      <c r="E55" s="166">
        <f>'Office Major'!E26</f>
        <v>0</v>
      </c>
      <c r="F55" s="166">
        <f>'Office Major'!F26</f>
        <v>0</v>
      </c>
      <c r="G55" s="166">
        <f>'Office Major'!G26</f>
        <v>0</v>
      </c>
      <c r="H55" s="166">
        <f>'Office Major'!H26</f>
        <v>0</v>
      </c>
    </row>
    <row r="56" spans="1:8" s="393" customFormat="1" ht="17.100000000000001" customHeight="1" x14ac:dyDescent="0.25">
      <c r="A56" s="166">
        <v>2</v>
      </c>
      <c r="B56" s="214" t="s">
        <v>81</v>
      </c>
      <c r="C56" s="166">
        <f>'Office Major'!C64</f>
        <v>2</v>
      </c>
      <c r="D56" s="166">
        <f>'Office Major'!D64</f>
        <v>1989.885</v>
      </c>
      <c r="E56" s="166">
        <f>'Office Major'!E64</f>
        <v>3343749</v>
      </c>
      <c r="F56" s="166">
        <f>'Office Major'!F64</f>
        <v>15715624013</v>
      </c>
      <c r="G56" s="166">
        <f>'Office Major'!G64</f>
        <v>1020000000</v>
      </c>
      <c r="H56" s="166">
        <f>'Office Major'!H64</f>
        <v>1100</v>
      </c>
    </row>
    <row r="57" spans="1:8" s="393" customFormat="1" ht="17.100000000000001" customHeight="1" x14ac:dyDescent="0.25">
      <c r="A57" s="166">
        <v>3</v>
      </c>
      <c r="B57" s="214" t="s">
        <v>87</v>
      </c>
      <c r="C57" s="166">
        <f>'Office Major'!C102</f>
        <v>2</v>
      </c>
      <c r="D57" s="166">
        <f>'Office Major'!D102</f>
        <v>134.09</v>
      </c>
      <c r="E57" s="166">
        <f>'Office Major'!E102</f>
        <v>24006.400000000001</v>
      </c>
      <c r="F57" s="166">
        <f>'Office Major'!F102</f>
        <v>96424600</v>
      </c>
      <c r="G57" s="166">
        <f>'Office Major'!G102</f>
        <v>2202581</v>
      </c>
      <c r="H57" s="166">
        <f>'Office Major'!H102</f>
        <v>25</v>
      </c>
    </row>
    <row r="58" spans="1:8" s="393" customFormat="1" ht="17.100000000000001" customHeight="1" x14ac:dyDescent="0.25">
      <c r="A58" s="166">
        <v>4</v>
      </c>
      <c r="B58" s="19" t="s">
        <v>84</v>
      </c>
      <c r="C58" s="204">
        <f>'Office Major'!C125</f>
        <v>6</v>
      </c>
      <c r="D58" s="204">
        <f>'Office Major'!D125</f>
        <v>86.47</v>
      </c>
      <c r="E58" s="204">
        <f>'Office Major'!E125</f>
        <v>136718</v>
      </c>
      <c r="F58" s="204">
        <f>'Office Major'!F125</f>
        <v>599508430</v>
      </c>
      <c r="G58" s="204">
        <f>'Office Major'!G125</f>
        <v>12235000</v>
      </c>
      <c r="H58" s="204">
        <f>'Office Major'!H125</f>
        <v>18</v>
      </c>
    </row>
    <row r="59" spans="1:8" s="393" customFormat="1" ht="17.100000000000001" customHeight="1" x14ac:dyDescent="0.25">
      <c r="A59" s="166">
        <v>5</v>
      </c>
      <c r="B59" s="214" t="s">
        <v>88</v>
      </c>
      <c r="C59" s="274">
        <f>'Office Major'!C145</f>
        <v>2</v>
      </c>
      <c r="D59" s="274">
        <f>'Office Major'!D145</f>
        <v>9.15</v>
      </c>
      <c r="E59" s="274">
        <f>'Office Major'!E145</f>
        <v>4285</v>
      </c>
      <c r="F59" s="274">
        <f>'Office Major'!F145</f>
        <v>17997000</v>
      </c>
      <c r="G59" s="274">
        <f>'Office Major'!G145</f>
        <v>139547</v>
      </c>
      <c r="H59" s="274">
        <f>'Office Major'!H145</f>
        <v>10</v>
      </c>
    </row>
    <row r="60" spans="1:8" s="393" customFormat="1" ht="17.100000000000001" customHeight="1" x14ac:dyDescent="0.25">
      <c r="A60" s="166">
        <v>6</v>
      </c>
      <c r="B60" s="214" t="s">
        <v>89</v>
      </c>
      <c r="C60" s="274">
        <f>'Office Major'!C169</f>
        <v>3</v>
      </c>
      <c r="D60" s="274">
        <f>'Office Major'!D169</f>
        <v>229.03</v>
      </c>
      <c r="E60" s="274">
        <f>'Office Major'!E169</f>
        <v>143379</v>
      </c>
      <c r="F60" s="274">
        <f>'Office Major'!F169</f>
        <v>659543400</v>
      </c>
      <c r="G60" s="274">
        <f>'Office Major'!G169</f>
        <v>13537417</v>
      </c>
      <c r="H60" s="274">
        <f>'Office Major'!H169</f>
        <v>50</v>
      </c>
    </row>
    <row r="61" spans="1:8" s="393" customFormat="1" ht="17.100000000000001" customHeight="1" x14ac:dyDescent="0.25">
      <c r="A61" s="1136" t="s">
        <v>50</v>
      </c>
      <c r="B61" s="1137"/>
      <c r="C61" s="259">
        <f t="shared" ref="C61:H61" si="7">SUM(C55:C60)</f>
        <v>15</v>
      </c>
      <c r="D61" s="260">
        <f t="shared" si="7"/>
        <v>2448.625</v>
      </c>
      <c r="E61" s="261">
        <f t="shared" si="7"/>
        <v>3652137.4</v>
      </c>
      <c r="F61" s="261">
        <f t="shared" si="7"/>
        <v>17089097443</v>
      </c>
      <c r="G61" s="261">
        <f t="shared" si="7"/>
        <v>1048114545</v>
      </c>
      <c r="H61" s="259">
        <f t="shared" si="7"/>
        <v>1203</v>
      </c>
    </row>
    <row r="62" spans="1:8" s="393" customFormat="1" ht="17.100000000000001" customHeight="1" x14ac:dyDescent="0.25">
      <c r="A62" s="412"/>
      <c r="B62" s="413"/>
      <c r="C62" s="414"/>
      <c r="D62" s="415"/>
      <c r="E62" s="416"/>
      <c r="F62" s="416"/>
      <c r="G62" s="416"/>
      <c r="H62" s="414"/>
    </row>
    <row r="63" spans="1:8" s="393" customFormat="1" ht="17.100000000000001" customHeight="1" x14ac:dyDescent="0.25">
      <c r="A63" s="1138" t="s">
        <v>381</v>
      </c>
      <c r="B63" s="1138"/>
      <c r="C63" s="1138"/>
      <c r="D63" s="1138"/>
      <c r="E63" s="1138"/>
      <c r="F63" s="1138"/>
      <c r="G63" s="1138"/>
      <c r="H63" s="1138"/>
    </row>
    <row r="64" spans="1:8" s="393" customFormat="1" ht="17.100000000000001" customHeight="1" x14ac:dyDescent="0.25">
      <c r="A64" s="1122" t="s">
        <v>2</v>
      </c>
      <c r="B64" s="1124" t="s">
        <v>77</v>
      </c>
      <c r="C64" s="249" t="s">
        <v>4</v>
      </c>
      <c r="D64" s="249" t="s">
        <v>5</v>
      </c>
      <c r="E64" s="249" t="s">
        <v>6</v>
      </c>
      <c r="F64" s="249" t="s">
        <v>7</v>
      </c>
      <c r="G64" s="249" t="s">
        <v>8</v>
      </c>
      <c r="H64" s="249" t="s">
        <v>9</v>
      </c>
    </row>
    <row r="65" spans="1:14" s="393" customFormat="1" ht="17.100000000000001" customHeight="1" x14ac:dyDescent="0.25">
      <c r="A65" s="1123"/>
      <c r="B65" s="1125"/>
      <c r="C65" s="2" t="s">
        <v>10</v>
      </c>
      <c r="D65" s="2" t="s">
        <v>78</v>
      </c>
      <c r="E65" s="2" t="s">
        <v>79</v>
      </c>
      <c r="F65" s="52" t="s">
        <v>80</v>
      </c>
      <c r="G65" s="52" t="s">
        <v>80</v>
      </c>
      <c r="H65" s="2" t="s">
        <v>13</v>
      </c>
    </row>
    <row r="66" spans="1:14" s="393" customFormat="1" ht="17.100000000000001" customHeight="1" x14ac:dyDescent="0.25">
      <c r="A66" s="166">
        <v>1</v>
      </c>
      <c r="B66" s="214" t="s">
        <v>81</v>
      </c>
      <c r="C66" s="63">
        <f>'Office Major'!C58</f>
        <v>1</v>
      </c>
      <c r="D66" s="63">
        <f>'Office Major'!D58</f>
        <v>1200</v>
      </c>
      <c r="E66" s="217">
        <f>'Office Major'!E58</f>
        <v>1207479</v>
      </c>
      <c r="F66" s="63">
        <f>'Office Major'!F58</f>
        <v>24149580000</v>
      </c>
      <c r="G66" s="63">
        <f>'Office Major'!G58</f>
        <v>12385092400</v>
      </c>
      <c r="H66" s="63">
        <f>'Office Major'!H58</f>
        <v>3600</v>
      </c>
    </row>
    <row r="67" spans="1:14" s="393" customFormat="1" ht="17.100000000000001" customHeight="1" x14ac:dyDescent="0.25">
      <c r="A67" s="166">
        <v>2</v>
      </c>
      <c r="B67" s="214" t="s">
        <v>90</v>
      </c>
      <c r="C67" s="145">
        <f>'Office Major'!C175</f>
        <v>0</v>
      </c>
      <c r="D67" s="145">
        <f>'Office Major'!D175</f>
        <v>0</v>
      </c>
      <c r="E67" s="145">
        <f>'Office Major'!E175</f>
        <v>0</v>
      </c>
      <c r="F67" s="145">
        <f>'Office Major'!F175</f>
        <v>0</v>
      </c>
      <c r="G67" s="145">
        <f>'Office Major'!G175</f>
        <v>0</v>
      </c>
      <c r="H67" s="145">
        <f>'Office Major'!H175</f>
        <v>0</v>
      </c>
    </row>
    <row r="68" spans="1:14" s="393" customFormat="1" ht="17.100000000000001" customHeight="1" x14ac:dyDescent="0.25">
      <c r="A68" s="166">
        <v>3</v>
      </c>
      <c r="B68" s="214" t="s">
        <v>83</v>
      </c>
      <c r="C68" s="137">
        <f>'Office Major'!C224</f>
        <v>0</v>
      </c>
      <c r="D68" s="137">
        <f>'Office Major'!D224</f>
        <v>0</v>
      </c>
      <c r="E68" s="137">
        <f>'Office Major'!E224</f>
        <v>0</v>
      </c>
      <c r="F68" s="137">
        <f>'Office Major'!F224</f>
        <v>0</v>
      </c>
      <c r="G68" s="137">
        <f>'Office Major'!G224</f>
        <v>0</v>
      </c>
      <c r="H68" s="137">
        <f>'Office Major'!H224</f>
        <v>0</v>
      </c>
    </row>
    <row r="69" spans="1:14" s="393" customFormat="1" ht="17.100000000000001" customHeight="1" x14ac:dyDescent="0.25">
      <c r="A69" s="166">
        <v>5</v>
      </c>
      <c r="B69" s="214" t="s">
        <v>92</v>
      </c>
      <c r="C69" s="143">
        <f>'Office Major'!C18</f>
        <v>1</v>
      </c>
      <c r="D69" s="143">
        <f>'Office Major'!D18</f>
        <v>480.45</v>
      </c>
      <c r="E69" s="143">
        <f>'Office Major'!E18</f>
        <v>564113</v>
      </c>
      <c r="F69" s="143">
        <f>'Office Major'!F18</f>
        <v>9025808000</v>
      </c>
      <c r="G69" s="143">
        <f>'Office Major'!G18</f>
        <v>781402433</v>
      </c>
      <c r="H69" s="143">
        <f>'Office Major'!H18</f>
        <v>456</v>
      </c>
    </row>
    <row r="70" spans="1:14" s="393" customFormat="1" ht="17.100000000000001" customHeight="1" x14ac:dyDescent="0.25">
      <c r="A70" s="1136" t="s">
        <v>50</v>
      </c>
      <c r="B70" s="1137"/>
      <c r="C70" s="259">
        <f t="shared" ref="C70:H70" si="8">SUM(C66:C69)</f>
        <v>2</v>
      </c>
      <c r="D70" s="260">
        <f t="shared" si="8"/>
        <v>1680.45</v>
      </c>
      <c r="E70" s="261">
        <f t="shared" si="8"/>
        <v>1771592</v>
      </c>
      <c r="F70" s="261">
        <f t="shared" si="8"/>
        <v>33175388000</v>
      </c>
      <c r="G70" s="261">
        <f t="shared" si="8"/>
        <v>13166494833</v>
      </c>
      <c r="H70" s="259">
        <f t="shared" si="8"/>
        <v>4056</v>
      </c>
      <c r="M70" s="394"/>
      <c r="N70" s="394"/>
    </row>
    <row r="71" spans="1:14" s="393" customFormat="1" ht="17.100000000000001" customHeight="1" x14ac:dyDescent="0.25">
      <c r="A71" s="412"/>
      <c r="B71" s="413"/>
      <c r="C71" s="414"/>
      <c r="D71" s="415"/>
      <c r="E71" s="416"/>
      <c r="F71" s="416"/>
      <c r="G71" s="416"/>
      <c r="H71" s="414"/>
    </row>
    <row r="72" spans="1:14" s="393" customFormat="1" ht="17.100000000000001" customHeight="1" x14ac:dyDescent="0.25">
      <c r="A72" s="1145" t="s">
        <v>398</v>
      </c>
      <c r="B72" s="1145"/>
      <c r="C72" s="1145"/>
      <c r="D72" s="1145"/>
      <c r="E72" s="1145"/>
      <c r="F72" s="1145"/>
      <c r="G72" s="1145"/>
      <c r="H72" s="1145"/>
      <c r="N72" s="394"/>
    </row>
    <row r="73" spans="1:14" s="393" customFormat="1" ht="17.100000000000001" customHeight="1" x14ac:dyDescent="0.25">
      <c r="A73" s="352"/>
      <c r="B73" s="417"/>
      <c r="C73" s="418"/>
      <c r="D73" s="419"/>
      <c r="E73" s="420"/>
      <c r="F73" s="420"/>
      <c r="G73" s="420"/>
      <c r="H73" s="418"/>
    </row>
    <row r="74" spans="1:14" s="393" customFormat="1" ht="17.100000000000001" customHeight="1" x14ac:dyDescent="0.25">
      <c r="A74" s="1122" t="s">
        <v>2</v>
      </c>
      <c r="B74" s="1124" t="s">
        <v>77</v>
      </c>
      <c r="C74" s="249" t="s">
        <v>4</v>
      </c>
      <c r="D74" s="249" t="s">
        <v>5</v>
      </c>
      <c r="E74" s="249" t="s">
        <v>6</v>
      </c>
      <c r="F74" s="249" t="s">
        <v>7</v>
      </c>
      <c r="G74" s="249" t="s">
        <v>8</v>
      </c>
      <c r="H74" s="249" t="s">
        <v>9</v>
      </c>
    </row>
    <row r="75" spans="1:14" s="393" customFormat="1" ht="17.100000000000001" customHeight="1" x14ac:dyDescent="0.25">
      <c r="A75" s="1123"/>
      <c r="B75" s="1125"/>
      <c r="C75" s="2" t="s">
        <v>10</v>
      </c>
      <c r="D75" s="2" t="s">
        <v>78</v>
      </c>
      <c r="E75" s="2" t="s">
        <v>79</v>
      </c>
      <c r="F75" s="52" t="s">
        <v>80</v>
      </c>
      <c r="G75" s="52" t="s">
        <v>80</v>
      </c>
      <c r="H75" s="2" t="s">
        <v>13</v>
      </c>
    </row>
    <row r="76" spans="1:14" s="393" customFormat="1" ht="17.100000000000001" customHeight="1" x14ac:dyDescent="0.25">
      <c r="A76" s="166">
        <v>1</v>
      </c>
      <c r="B76" s="214" t="s">
        <v>90</v>
      </c>
      <c r="C76" s="290">
        <f>'Office Major'!C176</f>
        <v>3</v>
      </c>
      <c r="D76" s="290">
        <f>'Office Major'!D176</f>
        <v>1725.8225</v>
      </c>
      <c r="E76" s="290">
        <f>'Office Major'!E176</f>
        <v>218894</v>
      </c>
      <c r="F76" s="290">
        <f>'Office Major'!F176</f>
        <v>4706221000</v>
      </c>
      <c r="G76" s="290">
        <f>'Office Major'!G176</f>
        <v>173976000</v>
      </c>
      <c r="H76" s="290">
        <f>'Office Major'!H176</f>
        <v>22810</v>
      </c>
    </row>
    <row r="77" spans="1:14" s="393" customFormat="1" ht="17.100000000000001" customHeight="1" x14ac:dyDescent="0.25">
      <c r="A77" s="166">
        <v>2</v>
      </c>
      <c r="B77" s="214" t="s">
        <v>81</v>
      </c>
      <c r="C77" s="279">
        <f>'Office Major'!C59</f>
        <v>0</v>
      </c>
      <c r="D77" s="279">
        <f>'Office Major'!D59</f>
        <v>0</v>
      </c>
      <c r="E77" s="279">
        <f>'Office Major'!E59</f>
        <v>0</v>
      </c>
      <c r="F77" s="676">
        <f>'Office Major'!F59</f>
        <v>0</v>
      </c>
      <c r="G77" s="279">
        <f>'Office Major'!G59</f>
        <v>0</v>
      </c>
      <c r="H77" s="279">
        <f>'Office Major'!H59</f>
        <v>0</v>
      </c>
    </row>
    <row r="78" spans="1:14" s="393" customFormat="1" ht="17.100000000000001" customHeight="1" x14ac:dyDescent="0.25">
      <c r="A78" s="166">
        <v>3</v>
      </c>
      <c r="B78" s="214" t="s">
        <v>83</v>
      </c>
      <c r="C78" s="137">
        <f>'Office Major'!C222</f>
        <v>0</v>
      </c>
      <c r="D78" s="137">
        <f>'Office Major'!D222</f>
        <v>0</v>
      </c>
      <c r="E78" s="137">
        <f>'Office Major'!E222</f>
        <v>91296</v>
      </c>
      <c r="F78" s="137">
        <f>'Office Major'!F222</f>
        <v>1962864000</v>
      </c>
      <c r="G78" s="137">
        <f>'Office Major'!G222</f>
        <v>1622361244</v>
      </c>
      <c r="H78" s="137">
        <f>'Office Major'!H222</f>
        <v>0</v>
      </c>
    </row>
    <row r="79" spans="1:14" s="393" customFormat="1" ht="17.100000000000001" customHeight="1" x14ac:dyDescent="0.25">
      <c r="A79" s="1136" t="s">
        <v>50</v>
      </c>
      <c r="B79" s="1137"/>
      <c r="C79" s="259">
        <f t="shared" ref="C79:H79" si="9">SUM(C76:C78)</f>
        <v>3</v>
      </c>
      <c r="D79" s="260">
        <f t="shared" si="9"/>
        <v>1725.8225</v>
      </c>
      <c r="E79" s="259">
        <f t="shared" si="9"/>
        <v>310190</v>
      </c>
      <c r="F79" s="261">
        <f t="shared" si="9"/>
        <v>6669085000</v>
      </c>
      <c r="G79" s="261">
        <f t="shared" si="9"/>
        <v>1796337244</v>
      </c>
      <c r="H79" s="259">
        <f t="shared" si="9"/>
        <v>22810</v>
      </c>
    </row>
    <row r="80" spans="1:14" s="393" customFormat="1" ht="17.100000000000001" customHeight="1" x14ac:dyDescent="0.25">
      <c r="A80" s="352"/>
      <c r="B80" s="417"/>
      <c r="C80" s="418"/>
      <c r="D80" s="419"/>
      <c r="E80" s="420"/>
      <c r="F80" s="420"/>
      <c r="G80" s="420"/>
      <c r="H80" s="418"/>
    </row>
    <row r="81" spans="1:8" s="393" customFormat="1" ht="17.100000000000001" customHeight="1" x14ac:dyDescent="0.25">
      <c r="A81" s="1146" t="s">
        <v>411</v>
      </c>
      <c r="B81" s="1146"/>
      <c r="C81" s="1146"/>
      <c r="D81" s="1146"/>
      <c r="E81" s="1146"/>
      <c r="F81" s="1146"/>
      <c r="G81" s="1146"/>
      <c r="H81" s="1146"/>
    </row>
    <row r="82" spans="1:8" s="393" customFormat="1" ht="17.100000000000001" customHeight="1" x14ac:dyDescent="0.25">
      <c r="A82" s="1122" t="s">
        <v>2</v>
      </c>
      <c r="B82" s="1124" t="s">
        <v>77</v>
      </c>
      <c r="C82" s="249" t="s">
        <v>4</v>
      </c>
      <c r="D82" s="249" t="s">
        <v>5</v>
      </c>
      <c r="E82" s="249" t="s">
        <v>6</v>
      </c>
      <c r="F82" s="249" t="s">
        <v>7</v>
      </c>
      <c r="G82" s="249" t="s">
        <v>8</v>
      </c>
      <c r="H82" s="249" t="s">
        <v>9</v>
      </c>
    </row>
    <row r="83" spans="1:8" s="393" customFormat="1" ht="17.100000000000001" customHeight="1" x14ac:dyDescent="0.25">
      <c r="A83" s="1123"/>
      <c r="B83" s="1125"/>
      <c r="C83" s="2" t="s">
        <v>10</v>
      </c>
      <c r="D83" s="2" t="s">
        <v>78</v>
      </c>
      <c r="E83" s="2" t="s">
        <v>79</v>
      </c>
      <c r="F83" s="52" t="s">
        <v>80</v>
      </c>
      <c r="G83" s="52" t="s">
        <v>80</v>
      </c>
      <c r="H83" s="2" t="s">
        <v>13</v>
      </c>
    </row>
    <row r="84" spans="1:8" s="393" customFormat="1" ht="17.100000000000001" customHeight="1" x14ac:dyDescent="0.25">
      <c r="A84" s="166">
        <v>1</v>
      </c>
      <c r="B84" s="214" t="s">
        <v>90</v>
      </c>
      <c r="C84" s="290">
        <f>'Office Major'!C177</f>
        <v>0</v>
      </c>
      <c r="D84" s="290">
        <f>'Office Major'!D177</f>
        <v>0</v>
      </c>
      <c r="E84" s="290">
        <f>'Office Major'!E177</f>
        <v>845164</v>
      </c>
      <c r="F84" s="290">
        <f>'Office Major'!F177</f>
        <v>13522624000</v>
      </c>
      <c r="G84" s="290">
        <f>'Office Major'!G177</f>
        <v>6327004000</v>
      </c>
      <c r="H84" s="290">
        <f>'Office Major'!H177</f>
        <v>0</v>
      </c>
    </row>
    <row r="85" spans="1:8" s="393" customFormat="1" ht="17.100000000000001" customHeight="1" x14ac:dyDescent="0.25">
      <c r="A85" s="166">
        <v>2</v>
      </c>
      <c r="B85" s="214" t="s">
        <v>81</v>
      </c>
      <c r="C85" s="279">
        <f>'Office Major'!C60</f>
        <v>0</v>
      </c>
      <c r="D85" s="279">
        <f>'Office Major'!D60</f>
        <v>0</v>
      </c>
      <c r="E85" s="279">
        <f>'Office Major'!E60</f>
        <v>0</v>
      </c>
      <c r="F85" s="279">
        <f>'Office Major'!F60</f>
        <v>0</v>
      </c>
      <c r="G85" s="279">
        <f>'Office Major'!G60</f>
        <v>0</v>
      </c>
      <c r="H85" s="279">
        <f>'Office Major'!H60</f>
        <v>0</v>
      </c>
    </row>
    <row r="86" spans="1:8" s="393" customFormat="1" ht="17.100000000000001" customHeight="1" x14ac:dyDescent="0.25">
      <c r="A86" s="166">
        <v>3</v>
      </c>
      <c r="B86" s="214" t="s">
        <v>83</v>
      </c>
      <c r="C86" s="137">
        <f>'Office Major'!C223</f>
        <v>1</v>
      </c>
      <c r="D86" s="137">
        <f>'Office Major'!D223</f>
        <v>3620</v>
      </c>
      <c r="E86" s="137">
        <f>'Office Major'!E223</f>
        <v>197120</v>
      </c>
      <c r="F86" s="137">
        <f>'Office Major'!F223</f>
        <v>3153920000</v>
      </c>
      <c r="G86" s="137">
        <f>'Office Major'!G223</f>
        <v>2442350509</v>
      </c>
      <c r="H86" s="137">
        <f>'Office Major'!H223</f>
        <v>2170</v>
      </c>
    </row>
    <row r="87" spans="1:8" s="393" customFormat="1" ht="17.100000000000001" customHeight="1" x14ac:dyDescent="0.25">
      <c r="A87" s="1136" t="s">
        <v>50</v>
      </c>
      <c r="B87" s="1137"/>
      <c r="C87" s="259">
        <f t="shared" ref="C87:H87" si="10">SUM(C84:C86)</f>
        <v>1</v>
      </c>
      <c r="D87" s="260">
        <f t="shared" si="10"/>
        <v>3620</v>
      </c>
      <c r="E87" s="259">
        <f t="shared" si="10"/>
        <v>1042284</v>
      </c>
      <c r="F87" s="261">
        <f t="shared" si="10"/>
        <v>16676544000</v>
      </c>
      <c r="G87" s="261">
        <f t="shared" si="10"/>
        <v>8769354509</v>
      </c>
      <c r="H87" s="259">
        <f t="shared" si="10"/>
        <v>2170</v>
      </c>
    </row>
    <row r="88" spans="1:8" s="393" customFormat="1" ht="17.100000000000001" customHeight="1" x14ac:dyDescent="0.25">
      <c r="A88" s="407"/>
      <c r="B88" s="407"/>
      <c r="C88" s="408"/>
      <c r="D88" s="409"/>
      <c r="E88" s="408"/>
      <c r="F88" s="411"/>
      <c r="G88" s="411"/>
      <c r="H88" s="408"/>
    </row>
    <row r="89" spans="1:8" s="393" customFormat="1" ht="17.100000000000001" customHeight="1" x14ac:dyDescent="0.25">
      <c r="A89" s="407"/>
      <c r="B89" s="407"/>
      <c r="C89" s="408"/>
      <c r="D89" s="409"/>
      <c r="E89" s="408"/>
      <c r="F89" s="411"/>
      <c r="G89" s="411"/>
      <c r="H89" s="408"/>
    </row>
    <row r="90" spans="1:8" s="393" customFormat="1" ht="17.100000000000001" customHeight="1" x14ac:dyDescent="0.25">
      <c r="A90" s="1138" t="s">
        <v>21</v>
      </c>
      <c r="B90" s="1138"/>
      <c r="C90" s="1138"/>
      <c r="D90" s="1138"/>
      <c r="E90" s="1138"/>
      <c r="F90" s="1138"/>
      <c r="G90" s="1138"/>
      <c r="H90" s="1138"/>
    </row>
    <row r="91" spans="1:8" s="393" customFormat="1" ht="17.100000000000001" customHeight="1" x14ac:dyDescent="0.25">
      <c r="A91" s="1122" t="s">
        <v>2</v>
      </c>
      <c r="B91" s="1124" t="s">
        <v>77</v>
      </c>
      <c r="C91" s="249" t="s">
        <v>4</v>
      </c>
      <c r="D91" s="249" t="s">
        <v>5</v>
      </c>
      <c r="E91" s="249" t="s">
        <v>6</v>
      </c>
      <c r="F91" s="249" t="s">
        <v>7</v>
      </c>
      <c r="G91" s="249" t="s">
        <v>8</v>
      </c>
      <c r="H91" s="249" t="s">
        <v>9</v>
      </c>
    </row>
    <row r="92" spans="1:8" s="393" customFormat="1" ht="17.100000000000001" customHeight="1" x14ac:dyDescent="0.25">
      <c r="A92" s="1123"/>
      <c r="B92" s="1125"/>
      <c r="C92" s="2" t="s">
        <v>10</v>
      </c>
      <c r="D92" s="2" t="s">
        <v>78</v>
      </c>
      <c r="E92" s="2" t="s">
        <v>79</v>
      </c>
      <c r="F92" s="52" t="s">
        <v>80</v>
      </c>
      <c r="G92" s="52" t="s">
        <v>80</v>
      </c>
      <c r="H92" s="2" t="s">
        <v>13</v>
      </c>
    </row>
    <row r="93" spans="1:8" s="393" customFormat="1" ht="17.100000000000001" customHeight="1" x14ac:dyDescent="0.25">
      <c r="A93" s="166">
        <v>1</v>
      </c>
      <c r="B93" s="19" t="s">
        <v>150</v>
      </c>
      <c r="C93" s="166">
        <f>'Office Major'!C32</f>
        <v>1</v>
      </c>
      <c r="D93" s="166">
        <f>'Office Major'!D32</f>
        <v>18.898</v>
      </c>
      <c r="E93" s="166">
        <f>'Office Major'!E32</f>
        <v>997.58</v>
      </c>
      <c r="F93" s="166">
        <f>'Office Major'!F32</f>
        <v>3491530</v>
      </c>
      <c r="G93" s="166">
        <f>'Office Major'!G32</f>
        <v>276000</v>
      </c>
      <c r="H93" s="166">
        <f>'Office Major'!H32</f>
        <v>20</v>
      </c>
    </row>
    <row r="94" spans="1:8" s="393" customFormat="1" ht="17.100000000000001" customHeight="1" x14ac:dyDescent="0.25">
      <c r="A94" s="1136" t="s">
        <v>50</v>
      </c>
      <c r="B94" s="1137"/>
      <c r="C94" s="259">
        <f t="shared" ref="C94:H94" si="11">SUM(C93)</f>
        <v>1</v>
      </c>
      <c r="D94" s="260">
        <f t="shared" si="11"/>
        <v>18.898</v>
      </c>
      <c r="E94" s="261">
        <f t="shared" si="11"/>
        <v>997.58</v>
      </c>
      <c r="F94" s="261">
        <f t="shared" si="11"/>
        <v>3491530</v>
      </c>
      <c r="G94" s="261">
        <f t="shared" si="11"/>
        <v>276000</v>
      </c>
      <c r="H94" s="259">
        <f t="shared" si="11"/>
        <v>20</v>
      </c>
    </row>
    <row r="95" spans="1:8" s="393" customFormat="1" ht="17.100000000000001" customHeight="1" x14ac:dyDescent="0.25">
      <c r="A95" s="412"/>
      <c r="B95" s="124"/>
      <c r="C95" s="414"/>
      <c r="D95" s="415"/>
      <c r="E95" s="416"/>
      <c r="F95" s="416"/>
      <c r="G95" s="416"/>
      <c r="H95" s="414"/>
    </row>
    <row r="96" spans="1:8" s="393" customFormat="1" ht="17.100000000000001" customHeight="1" x14ac:dyDescent="0.25">
      <c r="A96" s="1138" t="s">
        <v>93</v>
      </c>
      <c r="B96" s="1138"/>
      <c r="C96" s="1138"/>
      <c r="D96" s="1138"/>
      <c r="E96" s="1138"/>
      <c r="F96" s="1138"/>
      <c r="G96" s="1138"/>
      <c r="H96" s="1138"/>
    </row>
    <row r="97" spans="1:8" s="393" customFormat="1" ht="17.100000000000001" customHeight="1" x14ac:dyDescent="0.25">
      <c r="A97" s="1122" t="s">
        <v>2</v>
      </c>
      <c r="B97" s="1124" t="s">
        <v>77</v>
      </c>
      <c r="C97" s="249" t="s">
        <v>4</v>
      </c>
      <c r="D97" s="249" t="s">
        <v>5</v>
      </c>
      <c r="E97" s="249" t="s">
        <v>6</v>
      </c>
      <c r="F97" s="249" t="s">
        <v>7</v>
      </c>
      <c r="G97" s="249" t="s">
        <v>8</v>
      </c>
      <c r="H97" s="249" t="s">
        <v>9</v>
      </c>
    </row>
    <row r="98" spans="1:8" s="393" customFormat="1" ht="17.100000000000001" customHeight="1" x14ac:dyDescent="0.25">
      <c r="A98" s="1123"/>
      <c r="B98" s="1125"/>
      <c r="C98" s="2" t="s">
        <v>10</v>
      </c>
      <c r="D98" s="2" t="s">
        <v>78</v>
      </c>
      <c r="E98" s="2" t="s">
        <v>79</v>
      </c>
      <c r="F98" s="52" t="s">
        <v>80</v>
      </c>
      <c r="G98" s="52" t="s">
        <v>80</v>
      </c>
      <c r="H98" s="2" t="s">
        <v>13</v>
      </c>
    </row>
    <row r="99" spans="1:8" s="393" customFormat="1" ht="17.100000000000001" customHeight="1" x14ac:dyDescent="0.25">
      <c r="A99" s="166">
        <v>1</v>
      </c>
      <c r="B99" s="214" t="s">
        <v>81</v>
      </c>
      <c r="C99" s="279">
        <f>'Office Major'!C61</f>
        <v>0</v>
      </c>
      <c r="D99" s="279">
        <f>'Office Major'!D61</f>
        <v>0</v>
      </c>
      <c r="E99" s="279">
        <f>'Office Major'!E61</f>
        <v>0</v>
      </c>
      <c r="F99" s="279">
        <f>'Office Major'!F61</f>
        <v>0</v>
      </c>
      <c r="G99" s="279">
        <f>'Office Major'!G61</f>
        <v>0</v>
      </c>
      <c r="H99" s="279">
        <f>'Office Major'!H61</f>
        <v>0</v>
      </c>
    </row>
    <row r="100" spans="1:8" s="393" customFormat="1" ht="17.100000000000001" customHeight="1" x14ac:dyDescent="0.25">
      <c r="A100" s="166">
        <v>2</v>
      </c>
      <c r="B100" s="214" t="s">
        <v>94</v>
      </c>
      <c r="C100" s="279">
        <f>'Office Major'!C178</f>
        <v>0</v>
      </c>
      <c r="D100" s="279">
        <f>'Office Major'!D178</f>
        <v>0</v>
      </c>
      <c r="E100" s="279">
        <f>'Office Major'!E178</f>
        <v>513.55999999999995</v>
      </c>
      <c r="F100" s="279">
        <f>'Office Major'!F178</f>
        <v>35949199999.999992</v>
      </c>
      <c r="G100" s="279">
        <f>'Office Major'!G178</f>
        <v>2258726000</v>
      </c>
      <c r="H100" s="279">
        <f>'Office Major'!H178</f>
        <v>0</v>
      </c>
    </row>
    <row r="101" spans="1:8" s="393" customFormat="1" ht="17.100000000000001" customHeight="1" x14ac:dyDescent="0.25">
      <c r="A101" s="166">
        <v>2</v>
      </c>
      <c r="B101" s="214" t="s">
        <v>83</v>
      </c>
      <c r="C101" s="166">
        <f>'Office Major'!C225</f>
        <v>0</v>
      </c>
      <c r="D101" s="166">
        <f>'Office Major'!D225</f>
        <v>0</v>
      </c>
      <c r="E101" s="309">
        <f>'Office Major'!E225</f>
        <v>103.675</v>
      </c>
      <c r="F101" s="166">
        <f>'Office Major'!F225</f>
        <v>7257250000</v>
      </c>
      <c r="G101" s="166">
        <f>'Office Major'!G225</f>
        <v>442625200</v>
      </c>
      <c r="H101" s="166">
        <f>'Office Major'!H225</f>
        <v>0</v>
      </c>
    </row>
    <row r="102" spans="1:8" s="393" customFormat="1" ht="17.100000000000001" customHeight="1" x14ac:dyDescent="0.25">
      <c r="A102" s="1136" t="s">
        <v>50</v>
      </c>
      <c r="B102" s="1137"/>
      <c r="C102" s="259">
        <f t="shared" ref="C102:H102" si="12">SUM(C99:C101)</f>
        <v>0</v>
      </c>
      <c r="D102" s="260">
        <f t="shared" si="12"/>
        <v>0</v>
      </c>
      <c r="E102" s="261">
        <f t="shared" si="12"/>
        <v>617.2349999999999</v>
      </c>
      <c r="F102" s="261">
        <f t="shared" si="12"/>
        <v>43206449999.999992</v>
      </c>
      <c r="G102" s="261">
        <f t="shared" si="12"/>
        <v>2701351200</v>
      </c>
      <c r="H102" s="259">
        <f t="shared" si="12"/>
        <v>0</v>
      </c>
    </row>
    <row r="103" spans="1:8" s="393" customFormat="1" ht="17.100000000000001" customHeight="1" x14ac:dyDescent="0.25">
      <c r="A103" s="412"/>
      <c r="B103" s="413"/>
      <c r="C103" s="414"/>
      <c r="D103" s="415"/>
      <c r="E103" s="416"/>
      <c r="F103" s="416"/>
      <c r="G103" s="416"/>
      <c r="H103" s="414"/>
    </row>
    <row r="104" spans="1:8" s="393" customFormat="1" ht="17.100000000000001" customHeight="1" x14ac:dyDescent="0.25">
      <c r="A104" s="352"/>
      <c r="B104" s="417"/>
      <c r="C104" s="418"/>
      <c r="D104" s="419"/>
      <c r="E104" s="420"/>
      <c r="F104" s="420"/>
      <c r="G104" s="420"/>
      <c r="H104" s="418"/>
    </row>
    <row r="105" spans="1:8" s="393" customFormat="1" ht="17.100000000000001" customHeight="1" x14ac:dyDescent="0.25">
      <c r="A105" s="1138" t="s">
        <v>29</v>
      </c>
      <c r="B105" s="1138"/>
      <c r="C105" s="1138"/>
      <c r="D105" s="1138"/>
      <c r="E105" s="1138"/>
      <c r="F105" s="1138"/>
      <c r="G105" s="1138"/>
      <c r="H105" s="1138"/>
    </row>
    <row r="106" spans="1:8" s="393" customFormat="1" ht="17.100000000000001" customHeight="1" x14ac:dyDescent="0.25">
      <c r="A106" s="1122" t="s">
        <v>2</v>
      </c>
      <c r="B106" s="1124" t="s">
        <v>77</v>
      </c>
      <c r="C106" s="249" t="s">
        <v>4</v>
      </c>
      <c r="D106" s="249" t="s">
        <v>5</v>
      </c>
      <c r="E106" s="249" t="s">
        <v>6</v>
      </c>
      <c r="F106" s="249" t="s">
        <v>7</v>
      </c>
      <c r="G106" s="249" t="s">
        <v>8</v>
      </c>
      <c r="H106" s="249" t="s">
        <v>9</v>
      </c>
    </row>
    <row r="107" spans="1:8" s="393" customFormat="1" ht="17.100000000000001" customHeight="1" x14ac:dyDescent="0.25">
      <c r="A107" s="1123"/>
      <c r="B107" s="1125"/>
      <c r="C107" s="2" t="s">
        <v>10</v>
      </c>
      <c r="D107" s="2" t="s">
        <v>78</v>
      </c>
      <c r="E107" s="2" t="s">
        <v>79</v>
      </c>
      <c r="F107" s="52" t="s">
        <v>80</v>
      </c>
      <c r="G107" s="52" t="s">
        <v>80</v>
      </c>
      <c r="H107" s="2" t="s">
        <v>13</v>
      </c>
    </row>
    <row r="108" spans="1:8" s="393" customFormat="1" ht="17.100000000000001" customHeight="1" x14ac:dyDescent="0.25">
      <c r="A108" s="166">
        <v>1</v>
      </c>
      <c r="B108" s="19" t="s">
        <v>153</v>
      </c>
      <c r="C108" s="166">
        <f>'Office Major'!C89</f>
        <v>1</v>
      </c>
      <c r="D108" s="166">
        <f>'Office Major'!D89</f>
        <v>5</v>
      </c>
      <c r="E108" s="166">
        <f>'Office Major'!E89</f>
        <v>0</v>
      </c>
      <c r="F108" s="166">
        <f>'Office Major'!F89</f>
        <v>0</v>
      </c>
      <c r="G108" s="166">
        <f>'Office Major'!G89</f>
        <v>30767</v>
      </c>
      <c r="H108" s="166">
        <f>'Office Major'!H89</f>
        <v>0</v>
      </c>
    </row>
    <row r="109" spans="1:8" s="393" customFormat="1" ht="17.100000000000001" customHeight="1" x14ac:dyDescent="0.25">
      <c r="A109" s="166">
        <v>2</v>
      </c>
      <c r="B109" s="19" t="s">
        <v>97</v>
      </c>
      <c r="C109" s="143">
        <f>'Office Major'!C117</f>
        <v>5</v>
      </c>
      <c r="D109" s="143">
        <f>'Office Major'!D117</f>
        <v>1075</v>
      </c>
      <c r="E109" s="143">
        <f>'Office Major'!E117</f>
        <v>0</v>
      </c>
      <c r="F109" s="143">
        <f>'Office Major'!F117</f>
        <v>0</v>
      </c>
      <c r="G109" s="143">
        <f>'Office Major'!G117</f>
        <v>0</v>
      </c>
      <c r="H109" s="143">
        <f>'Office Major'!H117</f>
        <v>0</v>
      </c>
    </row>
    <row r="110" spans="1:8" s="393" customFormat="1" ht="17.100000000000001" customHeight="1" x14ac:dyDescent="0.25">
      <c r="A110" s="166">
        <v>3</v>
      </c>
      <c r="B110" s="19" t="s">
        <v>91</v>
      </c>
      <c r="C110" s="143">
        <f>'Office Major'!C202</f>
        <v>1</v>
      </c>
      <c r="D110" s="143">
        <f>'Office Major'!D202</f>
        <v>167.62</v>
      </c>
      <c r="E110" s="143">
        <f>'Office Major'!E202</f>
        <v>0</v>
      </c>
      <c r="F110" s="143">
        <f>'Office Major'!F202</f>
        <v>0</v>
      </c>
      <c r="G110" s="143">
        <f>'Office Major'!G202</f>
        <v>0</v>
      </c>
      <c r="H110" s="143">
        <f>'Office Major'!H202</f>
        <v>0</v>
      </c>
    </row>
    <row r="111" spans="1:8" s="393" customFormat="1" ht="17.100000000000001" customHeight="1" x14ac:dyDescent="0.25">
      <c r="A111" s="1136" t="s">
        <v>50</v>
      </c>
      <c r="B111" s="1137"/>
      <c r="C111" s="259">
        <f>SUM(C108:C110)</f>
        <v>7</v>
      </c>
      <c r="D111" s="259">
        <f t="shared" ref="D111:H111" si="13">SUM(D108:D110)</f>
        <v>1247.6199999999999</v>
      </c>
      <c r="E111" s="259">
        <f t="shared" si="13"/>
        <v>0</v>
      </c>
      <c r="F111" s="259">
        <f t="shared" si="13"/>
        <v>0</v>
      </c>
      <c r="G111" s="259">
        <f t="shared" si="13"/>
        <v>30767</v>
      </c>
      <c r="H111" s="259">
        <f t="shared" si="13"/>
        <v>0</v>
      </c>
    </row>
    <row r="112" spans="1:8" s="393" customFormat="1" ht="17.100000000000001" customHeight="1" x14ac:dyDescent="0.25"/>
    <row r="113" spans="1:8" s="393" customFormat="1" ht="17.100000000000001" customHeight="1" x14ac:dyDescent="0.25">
      <c r="A113" s="1138" t="s">
        <v>30</v>
      </c>
      <c r="B113" s="1138"/>
      <c r="C113" s="1138"/>
      <c r="D113" s="1138"/>
      <c r="E113" s="1138"/>
      <c r="F113" s="1138"/>
      <c r="G113" s="1138"/>
      <c r="H113" s="1138"/>
    </row>
    <row r="114" spans="1:8" s="393" customFormat="1" ht="17.100000000000001" customHeight="1" x14ac:dyDescent="0.25">
      <c r="A114" s="1122" t="s">
        <v>2</v>
      </c>
      <c r="B114" s="1124" t="s">
        <v>77</v>
      </c>
      <c r="C114" s="249" t="s">
        <v>4</v>
      </c>
      <c r="D114" s="249" t="s">
        <v>5</v>
      </c>
      <c r="E114" s="249" t="s">
        <v>6</v>
      </c>
      <c r="F114" s="249" t="s">
        <v>7</v>
      </c>
      <c r="G114" s="249" t="s">
        <v>8</v>
      </c>
      <c r="H114" s="249" t="s">
        <v>9</v>
      </c>
    </row>
    <row r="115" spans="1:8" s="393" customFormat="1" ht="17.100000000000001" customHeight="1" x14ac:dyDescent="0.25">
      <c r="A115" s="1123"/>
      <c r="B115" s="1125"/>
      <c r="C115" s="2" t="s">
        <v>10</v>
      </c>
      <c r="D115" s="2" t="s">
        <v>78</v>
      </c>
      <c r="E115" s="2" t="s">
        <v>79</v>
      </c>
      <c r="F115" s="52" t="s">
        <v>80</v>
      </c>
      <c r="G115" s="52" t="s">
        <v>80</v>
      </c>
      <c r="H115" s="2" t="s">
        <v>13</v>
      </c>
    </row>
    <row r="116" spans="1:8" s="393" customFormat="1" ht="17.100000000000001" customHeight="1" x14ac:dyDescent="0.25">
      <c r="A116" s="166">
        <v>1</v>
      </c>
      <c r="B116" s="19" t="s">
        <v>92</v>
      </c>
      <c r="C116" s="144">
        <f>'Office Major'!C19</f>
        <v>0</v>
      </c>
      <c r="D116" s="144">
        <f>'Office Major'!D19</f>
        <v>0</v>
      </c>
      <c r="E116" s="144">
        <f>'Office Major'!E19</f>
        <v>0</v>
      </c>
      <c r="F116" s="144">
        <f>'Office Major'!F19</f>
        <v>0</v>
      </c>
      <c r="G116" s="144">
        <f>'Office Major'!G19</f>
        <v>0</v>
      </c>
      <c r="H116" s="144">
        <f>'Office Major'!H19</f>
        <v>0</v>
      </c>
    </row>
    <row r="117" spans="1:8" s="393" customFormat="1" ht="17.100000000000001" customHeight="1" x14ac:dyDescent="0.25">
      <c r="A117" s="166">
        <v>2</v>
      </c>
      <c r="B117" s="19" t="s">
        <v>123</v>
      </c>
      <c r="C117" s="137">
        <f>'Office Major'!C8</f>
        <v>1</v>
      </c>
      <c r="D117" s="137">
        <f>'Office Major'!D8</f>
        <v>4.3636999999999997</v>
      </c>
      <c r="E117" s="137">
        <f>'Office Major'!E8</f>
        <v>1050</v>
      </c>
      <c r="F117" s="137">
        <f>'Office Major'!F8</f>
        <v>4305000</v>
      </c>
      <c r="G117" s="137">
        <f>'Office Major'!G8</f>
        <v>172200</v>
      </c>
      <c r="H117" s="137">
        <f>'Office Major'!H8</f>
        <v>0</v>
      </c>
    </row>
    <row r="118" spans="1:8" s="393" customFormat="1" ht="17.100000000000001" customHeight="1" x14ac:dyDescent="0.25">
      <c r="A118" s="166">
        <v>3</v>
      </c>
      <c r="B118" s="19" t="s">
        <v>376</v>
      </c>
      <c r="C118" s="137">
        <f>'Office Major'!C191</f>
        <v>4</v>
      </c>
      <c r="D118" s="137">
        <f>'Office Major'!D191</f>
        <v>19</v>
      </c>
      <c r="E118" s="137">
        <f>'Office Major'!E191</f>
        <v>0</v>
      </c>
      <c r="F118" s="137">
        <f>'Office Major'!F191</f>
        <v>0</v>
      </c>
      <c r="G118" s="137">
        <f>'Office Major'!G191</f>
        <v>0</v>
      </c>
      <c r="H118" s="137">
        <f>'Office Major'!H191</f>
        <v>0</v>
      </c>
    </row>
    <row r="119" spans="1:8" s="393" customFormat="1" ht="17.100000000000001" customHeight="1" x14ac:dyDescent="0.25">
      <c r="A119" s="166">
        <v>4</v>
      </c>
      <c r="B119" s="19" t="s">
        <v>81</v>
      </c>
      <c r="C119" s="166">
        <f>'Office Major'!C63</f>
        <v>5</v>
      </c>
      <c r="D119" s="166">
        <f>'Office Major'!D63</f>
        <v>20.736999999999998</v>
      </c>
      <c r="E119" s="166">
        <f>'Office Major'!E63</f>
        <v>17104</v>
      </c>
      <c r="F119" s="166">
        <f>'Office Major'!F63</f>
        <v>71838522</v>
      </c>
      <c r="G119" s="166">
        <f>'Office Major'!G63</f>
        <v>2703770</v>
      </c>
      <c r="H119" s="166">
        <f>'Office Major'!H63</f>
        <v>40</v>
      </c>
    </row>
    <row r="120" spans="1:8" s="393" customFormat="1" ht="17.100000000000001" customHeight="1" x14ac:dyDescent="0.25">
      <c r="A120" s="166">
        <v>5</v>
      </c>
      <c r="B120" s="19" t="s">
        <v>116</v>
      </c>
      <c r="C120" s="143">
        <f>'Office Major'!C216</f>
        <v>5</v>
      </c>
      <c r="D120" s="143">
        <f>'Office Major'!D216</f>
        <v>24.76</v>
      </c>
      <c r="E120" s="143">
        <f>'Office Major'!E216</f>
        <v>904</v>
      </c>
      <c r="F120" s="143">
        <f>'Office Major'!F216</f>
        <v>3750000</v>
      </c>
      <c r="G120" s="143">
        <f>'Office Major'!G216</f>
        <v>150000</v>
      </c>
      <c r="H120" s="143">
        <f>'Office Major'!H216</f>
        <v>0</v>
      </c>
    </row>
    <row r="121" spans="1:8" s="393" customFormat="1" ht="17.100000000000001" customHeight="1" x14ac:dyDescent="0.25">
      <c r="A121" s="1136" t="s">
        <v>50</v>
      </c>
      <c r="B121" s="1137"/>
      <c r="C121" s="259">
        <f t="shared" ref="C121:H121" si="14">SUM(C116:C120)</f>
        <v>15</v>
      </c>
      <c r="D121" s="260">
        <f t="shared" si="14"/>
        <v>68.860700000000008</v>
      </c>
      <c r="E121" s="261">
        <f t="shared" si="14"/>
        <v>19058</v>
      </c>
      <c r="F121" s="261">
        <f t="shared" si="14"/>
        <v>79893522</v>
      </c>
      <c r="G121" s="261">
        <f t="shared" si="14"/>
        <v>3025970</v>
      </c>
      <c r="H121" s="259">
        <f t="shared" si="14"/>
        <v>40</v>
      </c>
    </row>
    <row r="122" spans="1:8" s="393" customFormat="1" ht="17.100000000000001" customHeight="1" x14ac:dyDescent="0.25"/>
    <row r="123" spans="1:8" s="393" customFormat="1" ht="17.100000000000001" customHeight="1" x14ac:dyDescent="0.25">
      <c r="A123" s="1138" t="s">
        <v>33</v>
      </c>
      <c r="B123" s="1138"/>
      <c r="C123" s="1138"/>
      <c r="D123" s="1138"/>
      <c r="E123" s="1138"/>
      <c r="F123" s="1138"/>
      <c r="G123" s="1138"/>
      <c r="H123" s="1138"/>
    </row>
    <row r="124" spans="1:8" s="393" customFormat="1" ht="17.100000000000001" customHeight="1" x14ac:dyDescent="0.25">
      <c r="A124" s="1122" t="s">
        <v>2</v>
      </c>
      <c r="B124" s="1124" t="s">
        <v>77</v>
      </c>
      <c r="C124" s="249" t="s">
        <v>4</v>
      </c>
      <c r="D124" s="249" t="s">
        <v>5</v>
      </c>
      <c r="E124" s="249" t="s">
        <v>6</v>
      </c>
      <c r="F124" s="249" t="s">
        <v>7</v>
      </c>
      <c r="G124" s="249" t="s">
        <v>8</v>
      </c>
      <c r="H124" s="249" t="s">
        <v>9</v>
      </c>
    </row>
    <row r="125" spans="1:8" s="393" customFormat="1" ht="17.100000000000001" customHeight="1" x14ac:dyDescent="0.25">
      <c r="A125" s="1123"/>
      <c r="B125" s="1125"/>
      <c r="C125" s="2" t="s">
        <v>10</v>
      </c>
      <c r="D125" s="2" t="s">
        <v>78</v>
      </c>
      <c r="E125" s="2" t="s">
        <v>79</v>
      </c>
      <c r="F125" s="52" t="s">
        <v>80</v>
      </c>
      <c r="G125" s="52" t="s">
        <v>80</v>
      </c>
      <c r="H125" s="2" t="s">
        <v>13</v>
      </c>
    </row>
    <row r="126" spans="1:8" s="393" customFormat="1" ht="17.100000000000001" customHeight="1" x14ac:dyDescent="0.25">
      <c r="A126" s="250">
        <v>1</v>
      </c>
      <c r="B126" s="211" t="s">
        <v>83</v>
      </c>
      <c r="C126" s="186">
        <f>'Office Major'!C231</f>
        <v>0</v>
      </c>
      <c r="D126" s="186">
        <f>'Office Major'!D231</f>
        <v>0</v>
      </c>
      <c r="E126" s="186">
        <f>'Office Major'!E231</f>
        <v>0</v>
      </c>
      <c r="F126" s="186">
        <f>'Office Major'!F231</f>
        <v>0</v>
      </c>
      <c r="G126" s="186">
        <f>'Office Major'!G231</f>
        <v>0</v>
      </c>
      <c r="H126" s="186">
        <f>'Office Major'!H231</f>
        <v>0</v>
      </c>
    </row>
    <row r="127" spans="1:8" s="393" customFormat="1" ht="17.100000000000001" customHeight="1" x14ac:dyDescent="0.25">
      <c r="A127" s="166">
        <v>2</v>
      </c>
      <c r="B127" s="19" t="s">
        <v>81</v>
      </c>
      <c r="C127" s="166">
        <f>'Office Major'!C57</f>
        <v>3</v>
      </c>
      <c r="D127" s="166">
        <f>'Office Major'!D57</f>
        <v>154</v>
      </c>
      <c r="E127" s="166">
        <f>'Office Major'!E57</f>
        <v>0</v>
      </c>
      <c r="F127" s="166">
        <f>'Office Major'!F57</f>
        <v>0</v>
      </c>
      <c r="G127" s="166">
        <f>'Office Major'!G57</f>
        <v>0</v>
      </c>
      <c r="H127" s="166">
        <f>'Office Major'!H57</f>
        <v>0</v>
      </c>
    </row>
    <row r="128" spans="1:8" s="393" customFormat="1" ht="17.100000000000001" customHeight="1" x14ac:dyDescent="0.25">
      <c r="A128" s="1136" t="s">
        <v>50</v>
      </c>
      <c r="B128" s="1137"/>
      <c r="C128" s="259">
        <f t="shared" ref="C128:H128" si="15">SUM(C126:C127)</f>
        <v>3</v>
      </c>
      <c r="D128" s="260">
        <f t="shared" si="15"/>
        <v>154</v>
      </c>
      <c r="E128" s="259">
        <f t="shared" si="15"/>
        <v>0</v>
      </c>
      <c r="F128" s="261">
        <f t="shared" si="15"/>
        <v>0</v>
      </c>
      <c r="G128" s="261">
        <f t="shared" si="15"/>
        <v>0</v>
      </c>
      <c r="H128" s="259">
        <f t="shared" si="15"/>
        <v>0</v>
      </c>
    </row>
    <row r="129" spans="1:11" s="393" customFormat="1" ht="17.100000000000001" customHeight="1" x14ac:dyDescent="0.25">
      <c r="A129" s="412"/>
      <c r="B129" s="413"/>
      <c r="C129" s="414"/>
      <c r="D129" s="415"/>
      <c r="E129" s="416"/>
      <c r="F129" s="416"/>
      <c r="G129" s="416"/>
      <c r="H129" s="414"/>
    </row>
    <row r="130" spans="1:11" s="393" customFormat="1" ht="17.100000000000001" customHeight="1" x14ac:dyDescent="0.25">
      <c r="A130" s="1138" t="s">
        <v>35</v>
      </c>
      <c r="B130" s="1138"/>
      <c r="C130" s="1138"/>
      <c r="D130" s="1138"/>
      <c r="E130" s="1138"/>
      <c r="F130" s="1138"/>
      <c r="G130" s="1138"/>
      <c r="H130" s="1138"/>
    </row>
    <row r="131" spans="1:11" s="393" customFormat="1" ht="17.100000000000001" customHeight="1" x14ac:dyDescent="0.25">
      <c r="A131" s="1122" t="s">
        <v>2</v>
      </c>
      <c r="B131" s="1124" t="s">
        <v>77</v>
      </c>
      <c r="C131" s="249" t="s">
        <v>4</v>
      </c>
      <c r="D131" s="249" t="s">
        <v>5</v>
      </c>
      <c r="E131" s="249" t="s">
        <v>6</v>
      </c>
      <c r="F131" s="249" t="s">
        <v>7</v>
      </c>
      <c r="G131" s="249" t="s">
        <v>8</v>
      </c>
      <c r="H131" s="249" t="s">
        <v>9</v>
      </c>
    </row>
    <row r="132" spans="1:11" s="393" customFormat="1" ht="17.100000000000001" customHeight="1" x14ac:dyDescent="0.25">
      <c r="A132" s="1123"/>
      <c r="B132" s="1125"/>
      <c r="C132" s="2" t="s">
        <v>10</v>
      </c>
      <c r="D132" s="2" t="s">
        <v>78</v>
      </c>
      <c r="E132" s="2" t="s">
        <v>79</v>
      </c>
      <c r="F132" s="52" t="s">
        <v>80</v>
      </c>
      <c r="G132" s="52" t="s">
        <v>80</v>
      </c>
      <c r="H132" s="2" t="s">
        <v>13</v>
      </c>
    </row>
    <row r="133" spans="1:11" s="393" customFormat="1" ht="17.100000000000001" customHeight="1" x14ac:dyDescent="0.25">
      <c r="A133" s="166">
        <v>1</v>
      </c>
      <c r="B133" s="214" t="s">
        <v>191</v>
      </c>
      <c r="C133" s="137">
        <f>'Office Major'!C50</f>
        <v>2</v>
      </c>
      <c r="D133" s="137">
        <f>'Office Major'!D50</f>
        <v>1304.83</v>
      </c>
      <c r="E133" s="221">
        <f>'Office Major'!E50</f>
        <v>2882595</v>
      </c>
      <c r="F133" s="221">
        <f>'Office Major'!F50</f>
        <v>2161946138</v>
      </c>
      <c r="G133" s="137">
        <f>'Office Major'!G50</f>
        <v>230607588</v>
      </c>
      <c r="H133" s="137">
        <f>'Office Major'!H50</f>
        <v>118</v>
      </c>
    </row>
    <row r="134" spans="1:11" s="393" customFormat="1" ht="17.100000000000001" customHeight="1" x14ac:dyDescent="0.25">
      <c r="A134" s="166">
        <v>2</v>
      </c>
      <c r="B134" s="214" t="s">
        <v>150</v>
      </c>
      <c r="C134" s="166">
        <f>'Office Major'!C33</f>
        <v>1</v>
      </c>
      <c r="D134" s="166">
        <f>'Office Major'!D33</f>
        <v>65.819999999999993</v>
      </c>
      <c r="E134" s="421">
        <f>'Office Major'!E33</f>
        <v>1347996.7</v>
      </c>
      <c r="F134" s="421">
        <f>'Office Major'!F33</f>
        <v>876197835</v>
      </c>
      <c r="G134" s="166">
        <f>'Office Major'!G33</f>
        <v>107990640</v>
      </c>
      <c r="H134" s="166">
        <f>'Office Major'!H33</f>
        <v>125</v>
      </c>
      <c r="K134" s="394"/>
    </row>
    <row r="135" spans="1:11" s="393" customFormat="1" ht="17.100000000000001" customHeight="1" x14ac:dyDescent="0.25">
      <c r="A135" s="166">
        <v>3</v>
      </c>
      <c r="B135" s="214" t="s">
        <v>104</v>
      </c>
      <c r="C135" s="1045">
        <f>'Office Major'!C77</f>
        <v>2</v>
      </c>
      <c r="D135" s="204">
        <f>'Office Major'!D77</f>
        <v>1359.492</v>
      </c>
      <c r="E135" s="204">
        <f>'Office Major'!E77</f>
        <v>13230123</v>
      </c>
      <c r="F135" s="204">
        <f>'Office Major'!F77</f>
        <v>9591839175</v>
      </c>
      <c r="G135" s="204">
        <f>'Office Major'!G77</f>
        <v>1081756030</v>
      </c>
      <c r="H135" s="204">
        <f>'Office Major'!H77</f>
        <v>517</v>
      </c>
    </row>
    <row r="136" spans="1:11" s="393" customFormat="1" ht="17.100000000000001" customHeight="1" x14ac:dyDescent="0.25">
      <c r="A136" s="166">
        <v>4</v>
      </c>
      <c r="B136" s="214" t="s">
        <v>105</v>
      </c>
      <c r="C136" s="143">
        <f>'Office Major'!C95</f>
        <v>4</v>
      </c>
      <c r="D136" s="143">
        <f>'Office Major'!D95</f>
        <v>1233.5</v>
      </c>
      <c r="E136" s="275">
        <f>'Office Major'!E95</f>
        <v>1107527.6100000001</v>
      </c>
      <c r="F136" s="275">
        <f>'Office Major'!F95</f>
        <v>886022088.00000012</v>
      </c>
      <c r="G136" s="143">
        <f>'Office Major'!G95</f>
        <v>88602209</v>
      </c>
      <c r="H136" s="143">
        <f>'Office Major'!H95</f>
        <v>45</v>
      </c>
    </row>
    <row r="137" spans="1:11" s="393" customFormat="1" ht="17.100000000000001" customHeight="1" x14ac:dyDescent="0.25">
      <c r="A137" s="166">
        <v>5</v>
      </c>
      <c r="B137" s="214" t="s">
        <v>119</v>
      </c>
      <c r="C137" s="252">
        <f>'Office Major'!C139</f>
        <v>1</v>
      </c>
      <c r="D137" s="252">
        <f>'Office Major'!D139</f>
        <v>1516.8</v>
      </c>
      <c r="E137" s="253">
        <f>'Office Major'!E139</f>
        <v>885550</v>
      </c>
      <c r="F137" s="253">
        <f>'Office Major'!F139</f>
        <v>708440000</v>
      </c>
      <c r="G137" s="252">
        <f>'Office Major'!G139</f>
        <v>72000000</v>
      </c>
      <c r="H137" s="252">
        <f>'Office Major'!H139</f>
        <v>40</v>
      </c>
    </row>
    <row r="138" spans="1:11" s="393" customFormat="1" ht="17.100000000000001" customHeight="1" x14ac:dyDescent="0.25">
      <c r="A138" s="166">
        <v>6</v>
      </c>
      <c r="B138" s="214" t="s">
        <v>88</v>
      </c>
      <c r="C138" s="145">
        <f>'Office Major'!C147</f>
        <v>3</v>
      </c>
      <c r="D138" s="145">
        <f>'Office Major'!D147</f>
        <v>899.93</v>
      </c>
      <c r="E138" s="286">
        <f>'Office Major'!E147</f>
        <v>4684139</v>
      </c>
      <c r="F138" s="286">
        <f>'Office Major'!F147</f>
        <v>2810483400</v>
      </c>
      <c r="G138" s="145">
        <f>'Office Major'!G147</f>
        <v>374860600</v>
      </c>
      <c r="H138" s="145">
        <f>'Office Major'!H147</f>
        <v>290</v>
      </c>
    </row>
    <row r="139" spans="1:11" s="393" customFormat="1" ht="17.100000000000001" customHeight="1" x14ac:dyDescent="0.25">
      <c r="A139" s="166">
        <v>7</v>
      </c>
      <c r="B139" s="214" t="s">
        <v>107</v>
      </c>
      <c r="C139" s="197">
        <f>'Office Major'!C156</f>
        <v>5</v>
      </c>
      <c r="D139" s="197">
        <f>'Office Major'!D156</f>
        <v>2185.77</v>
      </c>
      <c r="E139" s="254">
        <f>'Office Major'!E156</f>
        <v>5050238</v>
      </c>
      <c r="F139" s="255">
        <f>'Office Major'!F156</f>
        <v>3535166600</v>
      </c>
      <c r="G139" s="197">
        <f>'Office Major'!G156</f>
        <v>404019065</v>
      </c>
      <c r="H139" s="197">
        <f>'Office Major'!H156</f>
        <v>350</v>
      </c>
      <c r="J139" s="129">
        <v>278000000</v>
      </c>
    </row>
    <row r="140" spans="1:11" s="393" customFormat="1" ht="17.100000000000001" customHeight="1" x14ac:dyDescent="0.25">
      <c r="A140" s="166">
        <v>8</v>
      </c>
      <c r="B140" s="214" t="s">
        <v>108</v>
      </c>
      <c r="C140" s="143">
        <f>'Office Major'!C162</f>
        <v>10</v>
      </c>
      <c r="D140" s="143">
        <f>'Office Major'!D162</f>
        <v>5190.2</v>
      </c>
      <c r="E140" s="275">
        <f>'Office Major'!E162</f>
        <v>24642439</v>
      </c>
      <c r="F140" s="216">
        <f>'Office Major'!F162</f>
        <v>16633646359</v>
      </c>
      <c r="G140" s="143">
        <f>'Office Major'!G162</f>
        <v>1992936402</v>
      </c>
      <c r="H140" s="143">
        <f>'Office Major'!H162</f>
        <v>600</v>
      </c>
      <c r="J140" s="129">
        <v>60000</v>
      </c>
      <c r="K140" s="394"/>
    </row>
    <row r="141" spans="1:11" s="393" customFormat="1" ht="17.100000000000001" customHeight="1" x14ac:dyDescent="0.25">
      <c r="A141" s="166">
        <v>9</v>
      </c>
      <c r="B141" s="214" t="s">
        <v>89</v>
      </c>
      <c r="C141" s="145">
        <f>'Office Major'!C168</f>
        <v>0</v>
      </c>
      <c r="D141" s="145">
        <f>'Office Major'!D168</f>
        <v>0</v>
      </c>
      <c r="E141" s="422">
        <f>'Office Major'!E168</f>
        <v>0</v>
      </c>
      <c r="F141" s="286">
        <f>'Office Major'!F168</f>
        <v>0</v>
      </c>
      <c r="G141" s="145">
        <f>'Office Major'!G168</f>
        <v>0</v>
      </c>
      <c r="H141" s="145">
        <f>'Office Major'!H168</f>
        <v>0</v>
      </c>
      <c r="J141" s="129">
        <v>346418120</v>
      </c>
    </row>
    <row r="142" spans="1:11" s="393" customFormat="1" ht="17.100000000000001" customHeight="1" x14ac:dyDescent="0.25">
      <c r="A142" s="166">
        <v>10</v>
      </c>
      <c r="B142" s="214" t="s">
        <v>120</v>
      </c>
      <c r="C142" s="204">
        <f>'Office Major'!C185</f>
        <v>1</v>
      </c>
      <c r="D142" s="204">
        <f>'Office Major'!D185</f>
        <v>895.42</v>
      </c>
      <c r="E142" s="257">
        <f>'Office Major'!E185</f>
        <v>3278226</v>
      </c>
      <c r="F142" s="257">
        <f>'Office Major'!F185</f>
        <v>2294758200</v>
      </c>
      <c r="G142" s="204">
        <f>'Office Major'!G185</f>
        <v>256000000</v>
      </c>
      <c r="H142" s="204">
        <f>'Office Major'!H185</f>
        <v>168</v>
      </c>
      <c r="J142" s="129">
        <f>SUM(J139:J141)</f>
        <v>624478120</v>
      </c>
    </row>
    <row r="143" spans="1:11" s="393" customFormat="1" ht="17.100000000000001" customHeight="1" x14ac:dyDescent="0.25">
      <c r="A143" s="166">
        <v>11</v>
      </c>
      <c r="B143" s="214" t="s">
        <v>91</v>
      </c>
      <c r="C143" s="204">
        <f>'Office Major'!C199</f>
        <v>5</v>
      </c>
      <c r="D143" s="204">
        <f>'Office Major'!D199</f>
        <v>1124.01</v>
      </c>
      <c r="E143" s="251">
        <f>'Office Major'!E199</f>
        <v>12697793</v>
      </c>
      <c r="F143" s="251">
        <f>'Office Major'!F199</f>
        <v>8888455100</v>
      </c>
      <c r="G143" s="204">
        <f>'Office Major'!G199</f>
        <v>1016640000</v>
      </c>
      <c r="H143" s="204">
        <f>'Office Major'!H199</f>
        <v>960</v>
      </c>
      <c r="K143" s="394"/>
    </row>
    <row r="144" spans="1:11" s="393" customFormat="1" ht="17.100000000000001" customHeight="1" x14ac:dyDescent="0.25">
      <c r="A144" s="166">
        <v>12</v>
      </c>
      <c r="B144" s="214" t="s">
        <v>95</v>
      </c>
      <c r="C144" s="166">
        <f>'Office Major'!C208</f>
        <v>6</v>
      </c>
      <c r="D144" s="166">
        <f>'Office Major'!D208</f>
        <v>2641.34</v>
      </c>
      <c r="E144" s="228">
        <f>'Office Major'!E208</f>
        <v>25588726</v>
      </c>
      <c r="F144" s="228">
        <f>'Office Major'!F208</f>
        <v>16632672446</v>
      </c>
      <c r="G144" s="166">
        <f>'Office Major'!G208</f>
        <v>2134795320</v>
      </c>
      <c r="H144" s="166">
        <f>'Office Major'!H208</f>
        <v>350</v>
      </c>
    </row>
    <row r="145" spans="1:12" s="393" customFormat="1" ht="17.100000000000001" customHeight="1" x14ac:dyDescent="0.25">
      <c r="A145" s="166">
        <v>13</v>
      </c>
      <c r="B145" s="214" t="s">
        <v>84</v>
      </c>
      <c r="C145" s="166">
        <f>'Office Major'!C124</f>
        <v>1</v>
      </c>
      <c r="D145" s="166">
        <f>'Office Major'!D124</f>
        <v>624</v>
      </c>
      <c r="E145" s="166">
        <f>'Office Major'!E124</f>
        <v>1064395</v>
      </c>
      <c r="F145" s="166">
        <f>'Office Major'!F124</f>
        <v>851516000</v>
      </c>
      <c r="G145" s="166">
        <f>'Office Major'!G124</f>
        <v>100606000</v>
      </c>
      <c r="H145" s="166">
        <f>'Office Major'!H124</f>
        <v>60</v>
      </c>
    </row>
    <row r="146" spans="1:12" s="393" customFormat="1" ht="17.100000000000001" customHeight="1" x14ac:dyDescent="0.25">
      <c r="A146" s="166">
        <v>14</v>
      </c>
      <c r="B146" s="214" t="s">
        <v>118</v>
      </c>
      <c r="C146" s="166">
        <f>'Office Major'!C131</f>
        <v>1</v>
      </c>
      <c r="D146" s="166">
        <f>'Office Major'!D131</f>
        <v>195.7064</v>
      </c>
      <c r="E146" s="166">
        <f>'Office Major'!E131</f>
        <v>0</v>
      </c>
      <c r="F146" s="166">
        <f>'Office Major'!F131</f>
        <v>0</v>
      </c>
      <c r="G146" s="166">
        <f>'Office Major'!G131</f>
        <v>587121</v>
      </c>
      <c r="H146" s="166">
        <f>'Office Major'!H131</f>
        <v>0</v>
      </c>
    </row>
    <row r="147" spans="1:12" s="393" customFormat="1" ht="17.100000000000001" customHeight="1" x14ac:dyDescent="0.25">
      <c r="A147" s="166">
        <v>15</v>
      </c>
      <c r="B147" s="214" t="s">
        <v>83</v>
      </c>
      <c r="C147" s="166">
        <f>'Office Major'!C230</f>
        <v>2</v>
      </c>
      <c r="D147" s="166">
        <f>'Office Major'!D230</f>
        <v>918.27</v>
      </c>
      <c r="E147" s="421">
        <f>'Office Major'!E230</f>
        <v>2913083</v>
      </c>
      <c r="F147" s="228">
        <f>'Office Major'!F230</f>
        <v>2039158100</v>
      </c>
      <c r="G147" s="166">
        <f>'Office Major'!G230</f>
        <v>233259940</v>
      </c>
      <c r="H147" s="166">
        <f>'Office Major'!H230</f>
        <v>165</v>
      </c>
    </row>
    <row r="148" spans="1:12" s="393" customFormat="1" ht="17.100000000000001" customHeight="1" x14ac:dyDescent="0.25">
      <c r="A148" s="166">
        <v>16</v>
      </c>
      <c r="B148" s="214" t="s">
        <v>154</v>
      </c>
      <c r="C148" s="143">
        <f>'Office Major'!C110</f>
        <v>4</v>
      </c>
      <c r="D148" s="143">
        <f>'Office Major'!D110</f>
        <v>2817.52</v>
      </c>
      <c r="E148" s="143">
        <f>'Office Major'!E110</f>
        <v>3292847</v>
      </c>
      <c r="F148" s="143">
        <f>'Office Major'!F110</f>
        <v>2087664998</v>
      </c>
      <c r="G148" s="143">
        <f>'Office Major'!G110</f>
        <v>337687880</v>
      </c>
      <c r="H148" s="143">
        <f>'Office Major'!H110</f>
        <v>520</v>
      </c>
    </row>
    <row r="149" spans="1:12" s="393" customFormat="1" ht="17.100000000000001" customHeight="1" x14ac:dyDescent="0.25">
      <c r="A149" s="1136" t="s">
        <v>50</v>
      </c>
      <c r="B149" s="1137"/>
      <c r="C149" s="259">
        <f t="shared" ref="C149:H149" si="16">SUM(C133:C148)</f>
        <v>48</v>
      </c>
      <c r="D149" s="260">
        <f t="shared" si="16"/>
        <v>22972.608400000001</v>
      </c>
      <c r="E149" s="260">
        <f t="shared" si="16"/>
        <v>102665678.31</v>
      </c>
      <c r="F149" s="260">
        <f t="shared" si="16"/>
        <v>69997966439</v>
      </c>
      <c r="G149" s="261">
        <f t="shared" si="16"/>
        <v>8432348795</v>
      </c>
      <c r="H149" s="259">
        <f t="shared" si="16"/>
        <v>4308</v>
      </c>
    </row>
    <row r="150" spans="1:12" s="393" customFormat="1" ht="17.100000000000001" customHeight="1" x14ac:dyDescent="0.25"/>
    <row r="151" spans="1:12" s="393" customFormat="1" ht="17.100000000000001" customHeight="1" x14ac:dyDescent="0.25">
      <c r="A151" s="1138" t="s">
        <v>34</v>
      </c>
      <c r="B151" s="1138"/>
      <c r="C151" s="1138"/>
      <c r="D151" s="1138"/>
      <c r="E151" s="1138"/>
      <c r="F151" s="1138"/>
      <c r="G151" s="1138"/>
      <c r="H151" s="1138"/>
    </row>
    <row r="152" spans="1:12" s="393" customFormat="1" ht="17.100000000000001" customHeight="1" x14ac:dyDescent="0.25">
      <c r="A152" s="1122" t="s">
        <v>2</v>
      </c>
      <c r="B152" s="1124" t="s">
        <v>77</v>
      </c>
      <c r="C152" s="249" t="s">
        <v>4</v>
      </c>
      <c r="D152" s="249" t="s">
        <v>5</v>
      </c>
      <c r="E152" s="249" t="s">
        <v>6</v>
      </c>
      <c r="F152" s="249" t="s">
        <v>7</v>
      </c>
      <c r="G152" s="249" t="s">
        <v>8</v>
      </c>
      <c r="H152" s="249" t="s">
        <v>9</v>
      </c>
    </row>
    <row r="153" spans="1:12" s="393" customFormat="1" ht="17.100000000000001" customHeight="1" x14ac:dyDescent="0.25">
      <c r="A153" s="1123"/>
      <c r="B153" s="1125"/>
      <c r="C153" s="2" t="s">
        <v>10</v>
      </c>
      <c r="D153" s="2" t="s">
        <v>78</v>
      </c>
      <c r="E153" s="2" t="s">
        <v>79</v>
      </c>
      <c r="F153" s="52" t="s">
        <v>80</v>
      </c>
      <c r="G153" s="52" t="s">
        <v>80</v>
      </c>
      <c r="H153" s="2" t="s">
        <v>13</v>
      </c>
    </row>
    <row r="154" spans="1:12" s="393" customFormat="1" ht="17.100000000000001" customHeight="1" x14ac:dyDescent="0.25">
      <c r="A154" s="166">
        <v>1</v>
      </c>
      <c r="B154" s="214" t="s">
        <v>151</v>
      </c>
      <c r="C154" s="166">
        <f>'Office Major'!C39</f>
        <v>4</v>
      </c>
      <c r="D154" s="166">
        <f>'Office Major'!D39</f>
        <v>11358.14</v>
      </c>
      <c r="E154" s="166">
        <f>'Office Major'!E39</f>
        <v>7285551.5800000001</v>
      </c>
      <c r="F154" s="166">
        <f>'Office Major'!F39</f>
        <v>16756768634</v>
      </c>
      <c r="G154" s="166">
        <f>'Office Major'!G39</f>
        <v>1133159442</v>
      </c>
      <c r="H154" s="166">
        <f>'Office Major'!H39</f>
        <v>95</v>
      </c>
      <c r="L154" s="423"/>
    </row>
    <row r="155" spans="1:12" s="393" customFormat="1" ht="17.100000000000001" customHeight="1" x14ac:dyDescent="0.25">
      <c r="A155" s="166">
        <v>2</v>
      </c>
      <c r="B155" s="214" t="s">
        <v>96</v>
      </c>
      <c r="C155" s="143">
        <f>'Office Major'!C71</f>
        <v>2</v>
      </c>
      <c r="D155" s="143">
        <f>'Office Major'!D71</f>
        <v>2212.25</v>
      </c>
      <c r="E155" s="143">
        <f>'Office Major'!E71</f>
        <v>3015422</v>
      </c>
      <c r="F155" s="143">
        <f>'Office Major'!F71</f>
        <v>6030844060</v>
      </c>
      <c r="G155" s="143">
        <f>'Office Major'!G71</f>
        <v>410131221</v>
      </c>
      <c r="H155" s="143">
        <f>'Office Major'!H71</f>
        <v>230</v>
      </c>
      <c r="L155" s="423"/>
    </row>
    <row r="156" spans="1:12" s="393" customFormat="1" ht="17.100000000000001" customHeight="1" x14ac:dyDescent="0.25">
      <c r="A156" s="166">
        <v>3</v>
      </c>
      <c r="B156" s="214" t="s">
        <v>107</v>
      </c>
      <c r="C156" s="197">
        <f>'Office Major'!C155</f>
        <v>1</v>
      </c>
      <c r="D156" s="197">
        <f>'Office Major'!D155</f>
        <v>1063.3499999999999</v>
      </c>
      <c r="E156" s="197">
        <f>'Office Major'!E155</f>
        <v>10633.5</v>
      </c>
      <c r="F156" s="197">
        <f>'Office Major'!F155</f>
        <v>19671975</v>
      </c>
      <c r="G156" s="197">
        <f>'Office Major'!G155</f>
        <v>2126700</v>
      </c>
      <c r="H156" s="197">
        <f>'Office Major'!H155</f>
        <v>250</v>
      </c>
      <c r="K156" s="394"/>
      <c r="L156" s="423"/>
    </row>
    <row r="157" spans="1:12" s="393" customFormat="1" ht="17.100000000000001" customHeight="1" x14ac:dyDescent="0.25">
      <c r="A157" s="1136" t="s">
        <v>50</v>
      </c>
      <c r="B157" s="1137"/>
      <c r="C157" s="259">
        <f t="shared" ref="C157:H157" si="17">SUM(C154:C156)</f>
        <v>7</v>
      </c>
      <c r="D157" s="260">
        <f t="shared" si="17"/>
        <v>14633.74</v>
      </c>
      <c r="E157" s="261">
        <f t="shared" si="17"/>
        <v>10311607.08</v>
      </c>
      <c r="F157" s="261">
        <f t="shared" si="17"/>
        <v>22807284669</v>
      </c>
      <c r="G157" s="261">
        <f t="shared" si="17"/>
        <v>1545417363</v>
      </c>
      <c r="H157" s="259">
        <f t="shared" si="17"/>
        <v>575</v>
      </c>
      <c r="L157" s="423"/>
    </row>
    <row r="158" spans="1:12" s="393" customFormat="1" ht="17.100000000000001" customHeight="1" x14ac:dyDescent="0.25"/>
    <row r="159" spans="1:12" s="393" customFormat="1" ht="17.100000000000001" customHeight="1" x14ac:dyDescent="0.25">
      <c r="A159" s="1138" t="s">
        <v>36</v>
      </c>
      <c r="B159" s="1138"/>
      <c r="C159" s="1138"/>
      <c r="D159" s="1138"/>
      <c r="E159" s="1138"/>
      <c r="F159" s="1138"/>
      <c r="G159" s="1138"/>
      <c r="H159" s="1138"/>
    </row>
    <row r="160" spans="1:12" s="393" customFormat="1" ht="17.100000000000001" customHeight="1" x14ac:dyDescent="0.25">
      <c r="A160" s="1122" t="s">
        <v>2</v>
      </c>
      <c r="B160" s="1124" t="s">
        <v>77</v>
      </c>
      <c r="C160" s="249" t="s">
        <v>4</v>
      </c>
      <c r="D160" s="249" t="s">
        <v>5</v>
      </c>
      <c r="E160" s="249" t="s">
        <v>6</v>
      </c>
      <c r="F160" s="249" t="s">
        <v>7</v>
      </c>
      <c r="G160" s="249" t="s">
        <v>8</v>
      </c>
      <c r="H160" s="249" t="s">
        <v>9</v>
      </c>
    </row>
    <row r="161" spans="1:10" s="393" customFormat="1" ht="17.100000000000001" customHeight="1" x14ac:dyDescent="0.25">
      <c r="A161" s="1123"/>
      <c r="B161" s="1125"/>
      <c r="C161" s="2" t="s">
        <v>10</v>
      </c>
      <c r="D161" s="2" t="s">
        <v>78</v>
      </c>
      <c r="E161" s="2" t="s">
        <v>79</v>
      </c>
      <c r="F161" s="52" t="s">
        <v>80</v>
      </c>
      <c r="G161" s="52" t="s">
        <v>80</v>
      </c>
      <c r="H161" s="2" t="s">
        <v>13</v>
      </c>
    </row>
    <row r="162" spans="1:10" s="393" customFormat="1" ht="17.100000000000001" customHeight="1" x14ac:dyDescent="0.25">
      <c r="A162" s="166">
        <v>1</v>
      </c>
      <c r="B162" s="19" t="s">
        <v>92</v>
      </c>
      <c r="C162" s="144">
        <f>'Office Major'!C17</f>
        <v>0</v>
      </c>
      <c r="D162" s="144">
        <f>'Office Major'!D17</f>
        <v>0</v>
      </c>
      <c r="E162" s="144">
        <f>'Office Major'!E17</f>
        <v>0</v>
      </c>
      <c r="F162" s="144">
        <f>'Office Major'!F17</f>
        <v>0</v>
      </c>
      <c r="G162" s="144">
        <f>'Office Major'!G17</f>
        <v>0</v>
      </c>
      <c r="H162" s="144">
        <f>'Office Major'!H17</f>
        <v>0</v>
      </c>
    </row>
    <row r="163" spans="1:10" s="393" customFormat="1" ht="17.100000000000001" customHeight="1" x14ac:dyDescent="0.25">
      <c r="A163" s="166">
        <v>2</v>
      </c>
      <c r="B163" s="214" t="s">
        <v>191</v>
      </c>
      <c r="C163" s="137">
        <f>'Office Major'!C48</f>
        <v>0</v>
      </c>
      <c r="D163" s="137">
        <f>'Office Major'!D48</f>
        <v>0</v>
      </c>
      <c r="E163" s="137">
        <f>'Office Major'!E48</f>
        <v>0</v>
      </c>
      <c r="F163" s="137">
        <f>'Office Major'!F48</f>
        <v>0</v>
      </c>
      <c r="G163" s="137">
        <f>'Office Major'!G48</f>
        <v>0</v>
      </c>
      <c r="H163" s="137">
        <f>'Office Major'!H48</f>
        <v>0</v>
      </c>
    </row>
    <row r="164" spans="1:10" s="393" customFormat="1" ht="17.100000000000001" customHeight="1" x14ac:dyDescent="0.25">
      <c r="A164" s="166">
        <v>3</v>
      </c>
      <c r="B164" s="19" t="s">
        <v>95</v>
      </c>
      <c r="C164" s="166">
        <f>'Office Major'!C210</f>
        <v>1</v>
      </c>
      <c r="D164" s="166">
        <f>'Office Major'!D210</f>
        <v>10</v>
      </c>
      <c r="E164" s="166">
        <f>'Office Major'!E210</f>
        <v>312</v>
      </c>
      <c r="F164" s="166">
        <f>'Office Major'!F210</f>
        <v>250000</v>
      </c>
      <c r="G164" s="166">
        <f>'Office Major'!G210</f>
        <v>5000</v>
      </c>
      <c r="H164" s="166">
        <f>'Office Major'!H210</f>
        <v>0</v>
      </c>
    </row>
    <row r="165" spans="1:10" s="393" customFormat="1" ht="17.100000000000001" customHeight="1" x14ac:dyDescent="0.25">
      <c r="A165" s="1136" t="s">
        <v>50</v>
      </c>
      <c r="B165" s="1137"/>
      <c r="C165" s="259">
        <f t="shared" ref="C165:H165" si="18">SUM(C162:C164)</f>
        <v>1</v>
      </c>
      <c r="D165" s="260">
        <f t="shared" si="18"/>
        <v>10</v>
      </c>
      <c r="E165" s="261">
        <f t="shared" si="18"/>
        <v>312</v>
      </c>
      <c r="F165" s="406">
        <f t="shared" si="18"/>
        <v>250000</v>
      </c>
      <c r="G165" s="261">
        <f t="shared" si="18"/>
        <v>5000</v>
      </c>
      <c r="H165" s="406">
        <f t="shared" si="18"/>
        <v>0</v>
      </c>
    </row>
    <row r="166" spans="1:10" s="393" customFormat="1" ht="17.100000000000001" customHeight="1" x14ac:dyDescent="0.25"/>
    <row r="167" spans="1:10" s="393" customFormat="1" ht="17.100000000000001" customHeight="1" x14ac:dyDescent="0.25">
      <c r="A167" s="1138" t="s">
        <v>42</v>
      </c>
      <c r="B167" s="1138"/>
      <c r="C167" s="1138"/>
      <c r="D167" s="1138"/>
      <c r="E167" s="1138"/>
      <c r="F167" s="1138"/>
      <c r="G167" s="1138"/>
      <c r="H167" s="1138"/>
    </row>
    <row r="168" spans="1:10" s="393" customFormat="1" ht="17.100000000000001" customHeight="1" x14ac:dyDescent="0.25">
      <c r="A168" s="1122" t="s">
        <v>2</v>
      </c>
      <c r="B168" s="1124" t="s">
        <v>77</v>
      </c>
      <c r="C168" s="249" t="s">
        <v>4</v>
      </c>
      <c r="D168" s="249" t="s">
        <v>5</v>
      </c>
      <c r="E168" s="249" t="s">
        <v>6</v>
      </c>
      <c r="F168" s="249" t="s">
        <v>7</v>
      </c>
      <c r="G168" s="249" t="s">
        <v>8</v>
      </c>
      <c r="H168" s="249" t="s">
        <v>9</v>
      </c>
    </row>
    <row r="169" spans="1:10" s="393" customFormat="1" ht="17.100000000000001" customHeight="1" x14ac:dyDescent="0.25">
      <c r="A169" s="1123"/>
      <c r="B169" s="1125"/>
      <c r="C169" s="2" t="s">
        <v>10</v>
      </c>
      <c r="D169" s="2" t="s">
        <v>78</v>
      </c>
      <c r="E169" s="2" t="s">
        <v>79</v>
      </c>
      <c r="F169" s="52" t="s">
        <v>80</v>
      </c>
      <c r="G169" s="52" t="s">
        <v>80</v>
      </c>
      <c r="H169" s="2" t="s">
        <v>13</v>
      </c>
    </row>
    <row r="170" spans="1:10" s="393" customFormat="1" ht="17.100000000000001" customHeight="1" x14ac:dyDescent="0.25">
      <c r="A170" s="166">
        <v>1</v>
      </c>
      <c r="B170" s="19" t="s">
        <v>83</v>
      </c>
      <c r="C170" s="166">
        <f>'Office Major'!C226</f>
        <v>1</v>
      </c>
      <c r="D170" s="166">
        <f>'Office Major'!D226</f>
        <v>1370.37</v>
      </c>
      <c r="E170" s="228">
        <f>'Office Major'!E226</f>
        <v>1004653</v>
      </c>
      <c r="F170" s="228">
        <f>'Office Major'!F226</f>
        <v>2059538650</v>
      </c>
      <c r="G170" s="228">
        <f>'Office Major'!G226</f>
        <v>1504458298</v>
      </c>
      <c r="H170" s="228">
        <f>'Office Major'!H226</f>
        <v>980</v>
      </c>
      <c r="J170" s="423"/>
    </row>
    <row r="171" spans="1:10" s="393" customFormat="1" ht="17.100000000000001" customHeight="1" x14ac:dyDescent="0.25">
      <c r="A171" s="1136" t="s">
        <v>50</v>
      </c>
      <c r="B171" s="1137"/>
      <c r="C171" s="259">
        <f t="shared" ref="C171:H171" si="19">SUM(C170)</f>
        <v>1</v>
      </c>
      <c r="D171" s="260">
        <f t="shared" si="19"/>
        <v>1370.37</v>
      </c>
      <c r="E171" s="259">
        <f t="shared" si="19"/>
        <v>1004653</v>
      </c>
      <c r="F171" s="259">
        <f>SUM(F170)</f>
        <v>2059538650</v>
      </c>
      <c r="G171" s="259">
        <f t="shared" si="19"/>
        <v>1504458298</v>
      </c>
      <c r="H171" s="259">
        <f t="shared" si="19"/>
        <v>980</v>
      </c>
      <c r="J171" s="423"/>
    </row>
    <row r="172" spans="1:10" s="393" customFormat="1" ht="17.100000000000001" customHeight="1" x14ac:dyDescent="0.25">
      <c r="A172" s="412"/>
      <c r="B172" s="413"/>
      <c r="C172" s="414"/>
      <c r="D172" s="415"/>
      <c r="E172" s="416"/>
      <c r="F172" s="416"/>
      <c r="G172" s="416"/>
      <c r="H172" s="414"/>
    </row>
    <row r="173" spans="1:10" s="393" customFormat="1" ht="17.100000000000001" customHeight="1" x14ac:dyDescent="0.25">
      <c r="A173" s="1138" t="s">
        <v>43</v>
      </c>
      <c r="B173" s="1138"/>
      <c r="C173" s="1138"/>
      <c r="D173" s="1138"/>
      <c r="E173" s="1138"/>
      <c r="F173" s="1138"/>
      <c r="G173" s="1138"/>
      <c r="H173" s="1138"/>
    </row>
    <row r="174" spans="1:10" s="393" customFormat="1" ht="17.100000000000001" customHeight="1" x14ac:dyDescent="0.25">
      <c r="A174" s="1122" t="s">
        <v>2</v>
      </c>
      <c r="B174" s="1124" t="s">
        <v>77</v>
      </c>
      <c r="C174" s="249" t="s">
        <v>4</v>
      </c>
      <c r="D174" s="249" t="s">
        <v>5</v>
      </c>
      <c r="E174" s="249" t="s">
        <v>6</v>
      </c>
      <c r="F174" s="249" t="s">
        <v>7</v>
      </c>
      <c r="G174" s="249" t="s">
        <v>8</v>
      </c>
      <c r="H174" s="249" t="s">
        <v>9</v>
      </c>
    </row>
    <row r="175" spans="1:10" s="393" customFormat="1" ht="17.100000000000001" customHeight="1" x14ac:dyDescent="0.25">
      <c r="A175" s="1123"/>
      <c r="B175" s="1125"/>
      <c r="C175" s="2" t="s">
        <v>10</v>
      </c>
      <c r="D175" s="2" t="s">
        <v>78</v>
      </c>
      <c r="E175" s="2" t="s">
        <v>79</v>
      </c>
      <c r="F175" s="52" t="s">
        <v>80</v>
      </c>
      <c r="G175" s="52" t="s">
        <v>80</v>
      </c>
      <c r="H175" s="2" t="s">
        <v>13</v>
      </c>
    </row>
    <row r="176" spans="1:10" s="393" customFormat="1" ht="17.100000000000001" customHeight="1" x14ac:dyDescent="0.25">
      <c r="A176" s="166">
        <v>1</v>
      </c>
      <c r="B176" s="424" t="s">
        <v>151</v>
      </c>
      <c r="C176" s="166">
        <f>'Office Major'!C41</f>
        <v>3</v>
      </c>
      <c r="D176" s="166">
        <f>'Office Major'!D41</f>
        <v>480.35</v>
      </c>
      <c r="E176" s="166">
        <f>'Office Major'!E41</f>
        <v>10671</v>
      </c>
      <c r="F176" s="166">
        <f>'Office Major'!F41</f>
        <v>18675090</v>
      </c>
      <c r="G176" s="166">
        <f>'Office Major'!G41</f>
        <v>1812550</v>
      </c>
      <c r="H176" s="166">
        <f>'Office Major'!H41</f>
        <v>25</v>
      </c>
    </row>
    <row r="177" spans="1:8" s="393" customFormat="1" ht="17.100000000000001" customHeight="1" x14ac:dyDescent="0.25">
      <c r="A177" s="166">
        <v>2</v>
      </c>
      <c r="B177" s="424" t="s">
        <v>83</v>
      </c>
      <c r="C177" s="166">
        <f>'Office Major'!C232</f>
        <v>0</v>
      </c>
      <c r="D177" s="166">
        <f>'Office Major'!D232</f>
        <v>0</v>
      </c>
      <c r="E177" s="166">
        <f>'Office Major'!E232</f>
        <v>0</v>
      </c>
      <c r="F177" s="166">
        <f>'Office Major'!F232</f>
        <v>0</v>
      </c>
      <c r="G177" s="166">
        <f>'Office Major'!G232</f>
        <v>0</v>
      </c>
      <c r="H177" s="166">
        <f>'Office Major'!H232</f>
        <v>0</v>
      </c>
    </row>
    <row r="178" spans="1:8" s="393" customFormat="1" ht="17.100000000000001" customHeight="1" x14ac:dyDescent="0.25">
      <c r="A178" s="166">
        <v>3</v>
      </c>
      <c r="B178" s="19" t="s">
        <v>96</v>
      </c>
      <c r="C178" s="206">
        <f>'Office Major'!C70</f>
        <v>1</v>
      </c>
      <c r="D178" s="206">
        <f>'Office Major'!D70</f>
        <v>145</v>
      </c>
      <c r="E178" s="206">
        <f>'Office Major'!E70</f>
        <v>8900</v>
      </c>
      <c r="F178" s="206">
        <f>'Office Major'!F70</f>
        <v>16012000</v>
      </c>
      <c r="G178" s="206">
        <f>'Office Major'!G70</f>
        <v>1595000</v>
      </c>
      <c r="H178" s="206">
        <f>'Office Major'!H70</f>
        <v>0</v>
      </c>
    </row>
    <row r="179" spans="1:8" s="393" customFormat="1" ht="17.100000000000001" customHeight="1" x14ac:dyDescent="0.25">
      <c r="A179" s="1136" t="s">
        <v>50</v>
      </c>
      <c r="B179" s="1137"/>
      <c r="C179" s="259">
        <f t="shared" ref="C179:H179" si="20">SUM(C176:C178)</f>
        <v>4</v>
      </c>
      <c r="D179" s="260">
        <f t="shared" si="20"/>
        <v>625.35</v>
      </c>
      <c r="E179" s="261">
        <f t="shared" si="20"/>
        <v>19571</v>
      </c>
      <c r="F179" s="261">
        <f t="shared" si="20"/>
        <v>34687090</v>
      </c>
      <c r="G179" s="261">
        <f t="shared" si="20"/>
        <v>3407550</v>
      </c>
      <c r="H179" s="259">
        <f t="shared" si="20"/>
        <v>25</v>
      </c>
    </row>
    <row r="180" spans="1:8" s="393" customFormat="1" ht="17.100000000000001" customHeight="1" x14ac:dyDescent="0.25">
      <c r="A180" s="412"/>
      <c r="B180" s="413"/>
      <c r="C180" s="414"/>
      <c r="D180" s="415"/>
      <c r="E180" s="416"/>
      <c r="F180" s="416"/>
      <c r="G180" s="416"/>
      <c r="H180" s="414"/>
    </row>
    <row r="181" spans="1:8" s="393" customFormat="1" ht="17.100000000000001" customHeight="1" x14ac:dyDescent="0.25"/>
    <row r="182" spans="1:8" s="393" customFormat="1" ht="17.100000000000001" customHeight="1" x14ac:dyDescent="0.25">
      <c r="A182" s="1138" t="s">
        <v>126</v>
      </c>
      <c r="B182" s="1138"/>
      <c r="C182" s="1138"/>
      <c r="D182" s="1138"/>
      <c r="E182" s="1138"/>
      <c r="F182" s="1138"/>
      <c r="G182" s="1138"/>
      <c r="H182" s="1138"/>
    </row>
    <row r="183" spans="1:8" s="393" customFormat="1" ht="17.100000000000001" customHeight="1" x14ac:dyDescent="0.25">
      <c r="A183" s="1122" t="s">
        <v>2</v>
      </c>
      <c r="B183" s="1124" t="s">
        <v>77</v>
      </c>
      <c r="C183" s="249" t="s">
        <v>4</v>
      </c>
      <c r="D183" s="249" t="s">
        <v>5</v>
      </c>
      <c r="E183" s="249" t="s">
        <v>6</v>
      </c>
      <c r="F183" s="249" t="s">
        <v>7</v>
      </c>
      <c r="G183" s="249" t="s">
        <v>8</v>
      </c>
      <c r="H183" s="249" t="s">
        <v>9</v>
      </c>
    </row>
    <row r="184" spans="1:8" s="393" customFormat="1" ht="17.100000000000001" customHeight="1" x14ac:dyDescent="0.25">
      <c r="A184" s="1123"/>
      <c r="B184" s="1125"/>
      <c r="C184" s="2" t="s">
        <v>10</v>
      </c>
      <c r="D184" s="2" t="s">
        <v>78</v>
      </c>
      <c r="E184" s="2" t="s">
        <v>79</v>
      </c>
      <c r="F184" s="52" t="s">
        <v>80</v>
      </c>
      <c r="G184" s="52" t="s">
        <v>80</v>
      </c>
      <c r="H184" s="2" t="s">
        <v>13</v>
      </c>
    </row>
    <row r="185" spans="1:8" s="393" customFormat="1" ht="17.100000000000001" customHeight="1" x14ac:dyDescent="0.25">
      <c r="A185" s="166">
        <v>1</v>
      </c>
      <c r="B185" s="424" t="s">
        <v>151</v>
      </c>
      <c r="C185" s="166">
        <f>'Office Major'!C40</f>
        <v>8</v>
      </c>
      <c r="D185" s="166">
        <f>'Office Major'!D40</f>
        <v>82.98</v>
      </c>
      <c r="E185" s="166">
        <f>'Office Major'!E40</f>
        <v>27676</v>
      </c>
      <c r="F185" s="166">
        <f>'Office Major'!F40</f>
        <v>20756977</v>
      </c>
      <c r="G185" s="166">
        <f>'Office Major'!G40</f>
        <v>2523034</v>
      </c>
      <c r="H185" s="166">
        <f>'Office Major'!H40</f>
        <v>24</v>
      </c>
    </row>
    <row r="186" spans="1:8" s="393" customFormat="1" ht="17.100000000000001" customHeight="1" x14ac:dyDescent="0.25">
      <c r="A186" s="166">
        <v>2</v>
      </c>
      <c r="B186" s="424" t="s">
        <v>395</v>
      </c>
      <c r="C186" s="166">
        <f>'Office Major'!C148</f>
        <v>0</v>
      </c>
      <c r="D186" s="166">
        <f>'Office Major'!D148</f>
        <v>0</v>
      </c>
      <c r="E186" s="166">
        <f>'Office Major'!E148</f>
        <v>0</v>
      </c>
      <c r="F186" s="166">
        <f>'Office Major'!F148</f>
        <v>0</v>
      </c>
      <c r="G186" s="166">
        <f>'Office Major'!G148</f>
        <v>0</v>
      </c>
      <c r="H186" s="166">
        <f>'Office Major'!H148</f>
        <v>0</v>
      </c>
    </row>
    <row r="187" spans="1:8" s="393" customFormat="1" ht="17.100000000000001" customHeight="1" x14ac:dyDescent="0.25">
      <c r="A187" s="166">
        <v>3</v>
      </c>
      <c r="B187" s="19" t="s">
        <v>154</v>
      </c>
      <c r="C187" s="206">
        <f>'Office Major'!C111</f>
        <v>9</v>
      </c>
      <c r="D187" s="206">
        <f>'Office Major'!D111</f>
        <v>85.984999999999999</v>
      </c>
      <c r="E187" s="206">
        <f>'Office Major'!E111</f>
        <v>11608</v>
      </c>
      <c r="F187" s="206">
        <f>'Office Major'!F111</f>
        <v>8706000</v>
      </c>
      <c r="G187" s="206">
        <f>'Office Major'!G111</f>
        <v>1236852</v>
      </c>
      <c r="H187" s="206">
        <f>'Office Major'!H111</f>
        <v>50</v>
      </c>
    </row>
    <row r="188" spans="1:8" s="393" customFormat="1" ht="17.100000000000001" customHeight="1" x14ac:dyDescent="0.25">
      <c r="A188" s="1136" t="s">
        <v>50</v>
      </c>
      <c r="B188" s="1137"/>
      <c r="C188" s="259">
        <f t="shared" ref="C188:H188" si="21">SUM(C185:C187)</f>
        <v>17</v>
      </c>
      <c r="D188" s="260">
        <f t="shared" si="21"/>
        <v>168.965</v>
      </c>
      <c r="E188" s="261">
        <f t="shared" si="21"/>
        <v>39284</v>
      </c>
      <c r="F188" s="261">
        <f t="shared" si="21"/>
        <v>29462977</v>
      </c>
      <c r="G188" s="261">
        <f t="shared" si="21"/>
        <v>3759886</v>
      </c>
      <c r="H188" s="261">
        <f t="shared" si="21"/>
        <v>74</v>
      </c>
    </row>
    <row r="189" spans="1:8" s="393" customFormat="1" ht="17.100000000000001" customHeight="1" x14ac:dyDescent="0.25">
      <c r="A189" s="344"/>
      <c r="B189" s="425"/>
      <c r="C189" s="418"/>
      <c r="D189" s="426"/>
      <c r="E189" s="427"/>
      <c r="F189" s="427"/>
      <c r="G189" s="427"/>
      <c r="H189" s="427"/>
    </row>
    <row r="190" spans="1:8" s="393" customFormat="1" ht="17.100000000000001" customHeight="1" x14ac:dyDescent="0.25"/>
    <row r="191" spans="1:8" s="393" customFormat="1" ht="17.100000000000001" customHeight="1" x14ac:dyDescent="0.25">
      <c r="A191" s="1138" t="s">
        <v>47</v>
      </c>
      <c r="B191" s="1138"/>
      <c r="C191" s="1138"/>
      <c r="D191" s="1138"/>
      <c r="E191" s="1138"/>
      <c r="F191" s="1138"/>
      <c r="G191" s="1138"/>
      <c r="H191" s="1138"/>
    </row>
    <row r="192" spans="1:8" s="393" customFormat="1" ht="17.100000000000001" customHeight="1" x14ac:dyDescent="0.25">
      <c r="A192" s="1122" t="s">
        <v>2</v>
      </c>
      <c r="B192" s="1124" t="s">
        <v>77</v>
      </c>
      <c r="C192" s="249" t="s">
        <v>4</v>
      </c>
      <c r="D192" s="249" t="s">
        <v>5</v>
      </c>
      <c r="E192" s="249" t="s">
        <v>6</v>
      </c>
      <c r="F192" s="249" t="s">
        <v>7</v>
      </c>
      <c r="G192" s="249" t="s">
        <v>8</v>
      </c>
      <c r="H192" s="249" t="s">
        <v>9</v>
      </c>
    </row>
    <row r="193" spans="1:8" s="393" customFormat="1" ht="17.100000000000001" customHeight="1" x14ac:dyDescent="0.25">
      <c r="A193" s="1123"/>
      <c r="B193" s="1125"/>
      <c r="C193" s="235" t="s">
        <v>10</v>
      </c>
      <c r="D193" s="235" t="s">
        <v>78</v>
      </c>
      <c r="E193" s="235" t="s">
        <v>79</v>
      </c>
      <c r="F193" s="56" t="s">
        <v>80</v>
      </c>
      <c r="G193" s="56" t="s">
        <v>80</v>
      </c>
      <c r="H193" s="235" t="s">
        <v>13</v>
      </c>
    </row>
    <row r="194" spans="1:8" s="393" customFormat="1" ht="17.100000000000001" customHeight="1" x14ac:dyDescent="0.25">
      <c r="A194" s="385">
        <v>1</v>
      </c>
      <c r="B194" s="612" t="s">
        <v>92</v>
      </c>
      <c r="C194" s="137">
        <f>'Office Major'!C20</f>
        <v>0</v>
      </c>
      <c r="D194" s="137">
        <f>'Office Major'!D20</f>
        <v>0</v>
      </c>
      <c r="E194" s="137">
        <f>'Office Major'!E20</f>
        <v>0</v>
      </c>
      <c r="F194" s="137">
        <f>'Office Major'!F20</f>
        <v>0</v>
      </c>
      <c r="G194" s="137">
        <f>'Office Major'!G20</f>
        <v>0</v>
      </c>
      <c r="H194" s="137">
        <f>'Office Major'!H20</f>
        <v>0</v>
      </c>
    </row>
    <row r="195" spans="1:8" s="393" customFormat="1" ht="17.100000000000001" customHeight="1" x14ac:dyDescent="0.25">
      <c r="A195" s="385">
        <v>2</v>
      </c>
      <c r="B195" s="612" t="s">
        <v>472</v>
      </c>
      <c r="C195" s="137">
        <f>'Office Major'!C83</f>
        <v>1</v>
      </c>
      <c r="D195" s="137">
        <f>'Office Major'!D83</f>
        <v>5</v>
      </c>
      <c r="E195" s="137">
        <f>'Office Major'!E83</f>
        <v>0</v>
      </c>
      <c r="F195" s="137">
        <f>'Office Major'!F83</f>
        <v>0</v>
      </c>
      <c r="G195" s="137">
        <f>'Office Major'!G83</f>
        <v>0</v>
      </c>
      <c r="H195" s="137">
        <f>'Office Major'!H83</f>
        <v>0</v>
      </c>
    </row>
    <row r="196" spans="1:8" s="393" customFormat="1" ht="17.100000000000001" customHeight="1" x14ac:dyDescent="0.25">
      <c r="A196" s="613">
        <v>3</v>
      </c>
      <c r="B196" s="214" t="s">
        <v>191</v>
      </c>
      <c r="C196" s="186">
        <f>'Office Major'!C49</f>
        <v>1</v>
      </c>
      <c r="D196" s="186">
        <f>'Office Major'!D49</f>
        <v>4.3099999999999996</v>
      </c>
      <c r="E196" s="186">
        <f>'Office Major'!E49</f>
        <v>0</v>
      </c>
      <c r="F196" s="186">
        <f>'Office Major'!F49</f>
        <v>0</v>
      </c>
      <c r="G196" s="186">
        <f>'Office Major'!G49</f>
        <v>67620</v>
      </c>
      <c r="H196" s="186">
        <f>'Office Major'!H49</f>
        <v>0</v>
      </c>
    </row>
    <row r="197" spans="1:8" s="393" customFormat="1" ht="17.100000000000001" customHeight="1" x14ac:dyDescent="0.25">
      <c r="A197" s="1136" t="s">
        <v>50</v>
      </c>
      <c r="B197" s="1137"/>
      <c r="C197" s="259">
        <f>SUM(C194:C196)</f>
        <v>2</v>
      </c>
      <c r="D197" s="259">
        <f t="shared" ref="D197:H197" si="22">SUM(D194:D196)</f>
        <v>9.3099999999999987</v>
      </c>
      <c r="E197" s="259">
        <f t="shared" si="22"/>
        <v>0</v>
      </c>
      <c r="F197" s="259">
        <f t="shared" si="22"/>
        <v>0</v>
      </c>
      <c r="G197" s="259">
        <f t="shared" si="22"/>
        <v>67620</v>
      </c>
      <c r="H197" s="259">
        <f t="shared" si="22"/>
        <v>0</v>
      </c>
    </row>
    <row r="198" spans="1:8" s="393" customFormat="1" ht="17.100000000000001" customHeight="1" x14ac:dyDescent="0.25"/>
    <row r="199" spans="1:8" s="393" customFormat="1" ht="17.100000000000001" customHeight="1" x14ac:dyDescent="0.25">
      <c r="A199" s="1138" t="s">
        <v>48</v>
      </c>
      <c r="B199" s="1138"/>
      <c r="C199" s="1138"/>
      <c r="D199" s="1138"/>
      <c r="E199" s="1138"/>
      <c r="F199" s="1138"/>
      <c r="G199" s="1138"/>
      <c r="H199" s="1138"/>
    </row>
    <row r="200" spans="1:8" s="393" customFormat="1" ht="17.100000000000001" customHeight="1" x14ac:dyDescent="0.25">
      <c r="A200" s="1122" t="s">
        <v>2</v>
      </c>
      <c r="B200" s="1124" t="s">
        <v>77</v>
      </c>
      <c r="C200" s="249" t="s">
        <v>4</v>
      </c>
      <c r="D200" s="249" t="s">
        <v>5</v>
      </c>
      <c r="E200" s="249" t="s">
        <v>6</v>
      </c>
      <c r="F200" s="249" t="s">
        <v>7</v>
      </c>
      <c r="G200" s="249" t="s">
        <v>8</v>
      </c>
      <c r="H200" s="249" t="s">
        <v>9</v>
      </c>
    </row>
    <row r="201" spans="1:8" s="393" customFormat="1" ht="17.100000000000001" customHeight="1" x14ac:dyDescent="0.25">
      <c r="A201" s="1123"/>
      <c r="B201" s="1125"/>
      <c r="C201" s="2" t="s">
        <v>10</v>
      </c>
      <c r="D201" s="2" t="s">
        <v>78</v>
      </c>
      <c r="E201" s="2" t="s">
        <v>79</v>
      </c>
      <c r="F201" s="52" t="s">
        <v>80</v>
      </c>
      <c r="G201" s="52" t="s">
        <v>80</v>
      </c>
      <c r="H201" s="2" t="s">
        <v>13</v>
      </c>
    </row>
    <row r="202" spans="1:8" s="393" customFormat="1" ht="17.100000000000001" customHeight="1" x14ac:dyDescent="0.25">
      <c r="A202" s="166">
        <v>1</v>
      </c>
      <c r="B202" s="214" t="s">
        <v>92</v>
      </c>
      <c r="C202" s="144">
        <f>'Office Major'!C14</f>
        <v>1</v>
      </c>
      <c r="D202" s="144">
        <f>'Office Major'!D14</f>
        <v>5</v>
      </c>
      <c r="E202" s="144">
        <f>'Office Major'!E14</f>
        <v>0</v>
      </c>
      <c r="F202" s="144">
        <f>'Office Major'!F14</f>
        <v>0</v>
      </c>
      <c r="G202" s="144">
        <f>'Office Major'!G14</f>
        <v>0</v>
      </c>
      <c r="H202" s="144">
        <f>'Office Major'!H14</f>
        <v>0</v>
      </c>
    </row>
    <row r="203" spans="1:8" s="393" customFormat="1" ht="17.100000000000001" customHeight="1" x14ac:dyDescent="0.25">
      <c r="A203" s="166">
        <v>2</v>
      </c>
      <c r="B203" s="214" t="s">
        <v>191</v>
      </c>
      <c r="C203" s="137">
        <f>'Office Major'!C47</f>
        <v>6</v>
      </c>
      <c r="D203" s="137">
        <f>'Office Major'!D47</f>
        <v>64.099999999999994</v>
      </c>
      <c r="E203" s="137">
        <f>'Office Major'!E47</f>
        <v>11240</v>
      </c>
      <c r="F203" s="137">
        <f>'Office Major'!F47</f>
        <v>20232000</v>
      </c>
      <c r="G203" s="137">
        <f>'Office Major'!G47</f>
        <v>1506280</v>
      </c>
      <c r="H203" s="137">
        <f>'Office Major'!H47</f>
        <v>6</v>
      </c>
    </row>
    <row r="204" spans="1:8" s="393" customFormat="1" ht="17.100000000000001" customHeight="1" x14ac:dyDescent="0.25">
      <c r="A204" s="166">
        <v>3</v>
      </c>
      <c r="B204" s="214" t="s">
        <v>91</v>
      </c>
      <c r="C204" s="204">
        <f>'Office Major'!C200</f>
        <v>1</v>
      </c>
      <c r="D204" s="204">
        <f>'Office Major'!D200</f>
        <v>49.48</v>
      </c>
      <c r="E204" s="204">
        <f>'Office Major'!E200</f>
        <v>93284</v>
      </c>
      <c r="F204" s="204">
        <f>'Office Major'!F200</f>
        <v>128824941</v>
      </c>
      <c r="G204" s="204">
        <f>'Office Major'!G200</f>
        <v>8900000</v>
      </c>
      <c r="H204" s="204">
        <f>'Office Major'!H200</f>
        <v>10</v>
      </c>
    </row>
    <row r="205" spans="1:8" s="393" customFormat="1" ht="17.100000000000001" customHeight="1" x14ac:dyDescent="0.25">
      <c r="A205" s="166">
        <v>4</v>
      </c>
      <c r="B205" s="214" t="s">
        <v>83</v>
      </c>
      <c r="C205" s="204">
        <f>'Office Major'!C229</f>
        <v>1</v>
      </c>
      <c r="D205" s="204">
        <f>'Office Major'!D229</f>
        <v>112.5</v>
      </c>
      <c r="E205" s="204">
        <f>'Office Major'!E229</f>
        <v>0</v>
      </c>
      <c r="F205" s="204">
        <f>'Office Major'!F229</f>
        <v>0</v>
      </c>
      <c r="G205" s="204">
        <f>'Office Major'!G229</f>
        <v>0</v>
      </c>
      <c r="H205" s="204">
        <f>'Office Major'!H229</f>
        <v>0</v>
      </c>
    </row>
    <row r="206" spans="1:8" s="393" customFormat="1" ht="17.100000000000001" customHeight="1" x14ac:dyDescent="0.25">
      <c r="A206" s="166">
        <v>5</v>
      </c>
      <c r="B206" s="214" t="s">
        <v>376</v>
      </c>
      <c r="C206" s="204">
        <f>'Office Major'!C192</f>
        <v>2</v>
      </c>
      <c r="D206" s="204">
        <f>'Office Major'!D192</f>
        <v>18.2</v>
      </c>
      <c r="E206" s="204">
        <f>'Office Major'!E192</f>
        <v>0</v>
      </c>
      <c r="F206" s="204">
        <f>'Office Major'!F192</f>
        <v>0</v>
      </c>
      <c r="G206" s="204">
        <f>'Office Major'!G192</f>
        <v>0</v>
      </c>
      <c r="H206" s="204">
        <f>'Office Major'!H192</f>
        <v>0</v>
      </c>
    </row>
    <row r="207" spans="1:8" s="393" customFormat="1" ht="17.100000000000001" customHeight="1" x14ac:dyDescent="0.25">
      <c r="A207" s="166">
        <v>6</v>
      </c>
      <c r="B207" s="214" t="s">
        <v>95</v>
      </c>
      <c r="C207" s="166">
        <f>'Office Major'!C209</f>
        <v>1</v>
      </c>
      <c r="D207" s="166">
        <f>'Office Major'!D209</f>
        <v>4</v>
      </c>
      <c r="E207" s="166">
        <f>'Office Major'!E209</f>
        <v>0</v>
      </c>
      <c r="F207" s="166">
        <f>'Office Major'!F209</f>
        <v>0</v>
      </c>
      <c r="G207" s="166">
        <f>'Office Major'!G209</f>
        <v>0</v>
      </c>
      <c r="H207" s="166">
        <f>'Office Major'!H209</f>
        <v>0</v>
      </c>
    </row>
    <row r="208" spans="1:8" s="393" customFormat="1" ht="17.100000000000001" customHeight="1" x14ac:dyDescent="0.25">
      <c r="A208" s="1136" t="s">
        <v>50</v>
      </c>
      <c r="B208" s="1137"/>
      <c r="C208" s="259">
        <f t="shared" ref="C208:H208" si="23">SUM(C202:C207)</f>
        <v>12</v>
      </c>
      <c r="D208" s="260">
        <f t="shared" si="23"/>
        <v>253.27999999999997</v>
      </c>
      <c r="E208" s="261">
        <f t="shared" si="23"/>
        <v>104524</v>
      </c>
      <c r="F208" s="261">
        <f t="shared" si="23"/>
        <v>149056941</v>
      </c>
      <c r="G208" s="261">
        <f t="shared" si="23"/>
        <v>10406280</v>
      </c>
      <c r="H208" s="259">
        <f t="shared" si="23"/>
        <v>16</v>
      </c>
    </row>
    <row r="210" spans="1:8" ht="18.75" x14ac:dyDescent="0.25">
      <c r="A210" s="1138" t="s">
        <v>458</v>
      </c>
      <c r="B210" s="1138"/>
      <c r="C210" s="1138"/>
      <c r="D210" s="1138"/>
      <c r="E210" s="1138"/>
      <c r="F210" s="1138"/>
      <c r="G210" s="1138"/>
      <c r="H210" s="1138"/>
    </row>
    <row r="211" spans="1:8" x14ac:dyDescent="0.25">
      <c r="A211" s="1122" t="s">
        <v>2</v>
      </c>
      <c r="B211" s="1124" t="s">
        <v>77</v>
      </c>
      <c r="C211" s="249" t="s">
        <v>4</v>
      </c>
      <c r="D211" s="249" t="s">
        <v>5</v>
      </c>
      <c r="E211" s="249" t="s">
        <v>6</v>
      </c>
      <c r="F211" s="249" t="s">
        <v>7</v>
      </c>
      <c r="G211" s="249" t="s">
        <v>8</v>
      </c>
      <c r="H211" s="249" t="s">
        <v>9</v>
      </c>
    </row>
    <row r="212" spans="1:8" x14ac:dyDescent="0.25">
      <c r="A212" s="1123"/>
      <c r="B212" s="1125"/>
      <c r="C212" s="2" t="s">
        <v>10</v>
      </c>
      <c r="D212" s="2" t="s">
        <v>78</v>
      </c>
      <c r="E212" s="2" t="s">
        <v>79</v>
      </c>
      <c r="F212" s="52" t="s">
        <v>80</v>
      </c>
      <c r="G212" s="52" t="s">
        <v>80</v>
      </c>
      <c r="H212" s="2" t="s">
        <v>13</v>
      </c>
    </row>
    <row r="213" spans="1:8" x14ac:dyDescent="0.25">
      <c r="A213" s="166">
        <v>1</v>
      </c>
      <c r="B213" s="424" t="s">
        <v>376</v>
      </c>
      <c r="C213" s="166">
        <v>0</v>
      </c>
      <c r="D213" s="166">
        <v>0</v>
      </c>
      <c r="E213" s="166">
        <v>0</v>
      </c>
      <c r="F213" s="166">
        <v>0</v>
      </c>
      <c r="G213" s="166">
        <f>'Office Major'!G193</f>
        <v>0</v>
      </c>
      <c r="H213" s="166">
        <v>0</v>
      </c>
    </row>
    <row r="214" spans="1:8" x14ac:dyDescent="0.25">
      <c r="A214" s="166">
        <v>2</v>
      </c>
      <c r="B214" s="19" t="s">
        <v>395</v>
      </c>
      <c r="C214" s="206">
        <f>'Office Major'!C149</f>
        <v>0</v>
      </c>
      <c r="D214" s="206">
        <f>'Office Major'!D149</f>
        <v>0</v>
      </c>
      <c r="E214" s="206">
        <f>'Office Major'!E149</f>
        <v>0</v>
      </c>
      <c r="F214" s="206">
        <f>'Office Major'!F149</f>
        <v>0</v>
      </c>
      <c r="G214" s="206">
        <f>'Office Major'!G149</f>
        <v>0</v>
      </c>
      <c r="H214" s="206">
        <f>'Office Major'!H149</f>
        <v>0</v>
      </c>
    </row>
    <row r="215" spans="1:8" x14ac:dyDescent="0.25">
      <c r="A215" s="1136" t="s">
        <v>50</v>
      </c>
      <c r="B215" s="1137"/>
      <c r="C215" s="259">
        <f t="shared" ref="C215:H215" si="24">SUM(C213:C214)</f>
        <v>0</v>
      </c>
      <c r="D215" s="260">
        <f t="shared" si="24"/>
        <v>0</v>
      </c>
      <c r="E215" s="261">
        <f t="shared" si="24"/>
        <v>0</v>
      </c>
      <c r="F215" s="261">
        <f t="shared" si="24"/>
        <v>0</v>
      </c>
      <c r="G215" s="261">
        <f t="shared" si="24"/>
        <v>0</v>
      </c>
      <c r="H215" s="259">
        <f t="shared" si="24"/>
        <v>0</v>
      </c>
    </row>
    <row r="218" spans="1:8" x14ac:dyDescent="0.25">
      <c r="B218" s="136"/>
      <c r="C218" s="21"/>
      <c r="D218" s="23"/>
      <c r="E218" s="24"/>
      <c r="F218" s="25"/>
      <c r="G218" s="25"/>
      <c r="H218" s="23"/>
    </row>
    <row r="219" spans="1:8" ht="27" x14ac:dyDescent="0.25">
      <c r="A219" s="1131" t="s">
        <v>0</v>
      </c>
      <c r="B219" s="1116"/>
      <c r="C219" s="1116"/>
      <c r="D219" s="1116"/>
      <c r="E219" s="1116"/>
      <c r="F219" s="1116"/>
      <c r="G219" s="1116"/>
      <c r="H219" s="1116"/>
    </row>
    <row r="220" spans="1:8" ht="20.25" x14ac:dyDescent="0.3">
      <c r="A220" s="1132" t="s">
        <v>129</v>
      </c>
      <c r="B220" s="1133"/>
      <c r="C220" s="1133"/>
      <c r="D220" s="1133"/>
      <c r="E220" s="1133"/>
      <c r="F220" s="1133"/>
      <c r="G220" s="1133"/>
      <c r="H220" s="1133"/>
    </row>
    <row r="221" spans="1:8" ht="20.25" x14ac:dyDescent="0.25">
      <c r="A221" s="1134" t="str">
        <f>A3</f>
        <v>Financial Year 2023-24</v>
      </c>
      <c r="B221" s="1135"/>
      <c r="C221" s="1135"/>
      <c r="D221" s="1135"/>
      <c r="E221" s="1135"/>
      <c r="F221" s="1135"/>
      <c r="G221" s="1135"/>
      <c r="H221" s="1135"/>
    </row>
    <row r="222" spans="1:8" ht="15.75" x14ac:dyDescent="0.25">
      <c r="B222" s="138"/>
      <c r="C222" s="26"/>
      <c r="D222" s="65"/>
      <c r="E222" s="27"/>
      <c r="F222" s="139"/>
      <c r="G222" s="127"/>
      <c r="H222" s="127"/>
    </row>
    <row r="223" spans="1:8" ht="17.100000000000001" customHeight="1" x14ac:dyDescent="0.25">
      <c r="A223" s="1127" t="s">
        <v>2</v>
      </c>
      <c r="B223" s="1129" t="s">
        <v>3</v>
      </c>
      <c r="C223" s="131" t="s">
        <v>4</v>
      </c>
      <c r="D223" s="131" t="s">
        <v>5</v>
      </c>
      <c r="E223" s="131" t="s">
        <v>6</v>
      </c>
      <c r="F223" s="131" t="s">
        <v>7</v>
      </c>
      <c r="G223" s="131" t="s">
        <v>8</v>
      </c>
      <c r="H223" s="131" t="s">
        <v>9</v>
      </c>
    </row>
    <row r="224" spans="1:8" ht="17.100000000000001" customHeight="1" x14ac:dyDescent="0.25">
      <c r="A224" s="1128"/>
      <c r="B224" s="1130"/>
      <c r="C224" s="132" t="s">
        <v>10</v>
      </c>
      <c r="D224" s="132" t="s">
        <v>78</v>
      </c>
      <c r="E224" s="132" t="s">
        <v>79</v>
      </c>
      <c r="F224" s="140" t="s">
        <v>80</v>
      </c>
      <c r="G224" s="140" t="s">
        <v>80</v>
      </c>
      <c r="H224" s="132" t="s">
        <v>13</v>
      </c>
    </row>
    <row r="225" spans="1:14" ht="17.100000000000001" customHeight="1" x14ac:dyDescent="0.25">
      <c r="A225" s="538">
        <v>1</v>
      </c>
      <c r="B225" s="539" t="s">
        <v>465</v>
      </c>
      <c r="C225" s="540">
        <f>C9</f>
        <v>0</v>
      </c>
      <c r="D225" s="540">
        <f t="shared" ref="D225:H225" si="25">D9</f>
        <v>0</v>
      </c>
      <c r="E225" s="540">
        <f t="shared" si="25"/>
        <v>0</v>
      </c>
      <c r="F225" s="540">
        <f t="shared" si="25"/>
        <v>0</v>
      </c>
      <c r="G225" s="540">
        <f t="shared" si="25"/>
        <v>0</v>
      </c>
      <c r="H225" s="540">
        <f t="shared" si="25"/>
        <v>0</v>
      </c>
    </row>
    <row r="226" spans="1:14" ht="17.100000000000001" customHeight="1" x14ac:dyDescent="0.25">
      <c r="A226" s="167">
        <v>2</v>
      </c>
      <c r="B226" s="180" t="s">
        <v>15</v>
      </c>
      <c r="C226" s="172">
        <f t="shared" ref="C226:H226" si="26">C17</f>
        <v>0</v>
      </c>
      <c r="D226" s="265">
        <f t="shared" si="26"/>
        <v>0</v>
      </c>
      <c r="E226" s="266">
        <f t="shared" si="26"/>
        <v>0</v>
      </c>
      <c r="F226" s="171">
        <f t="shared" si="26"/>
        <v>0</v>
      </c>
      <c r="G226" s="171">
        <f t="shared" si="26"/>
        <v>0</v>
      </c>
      <c r="H226" s="172">
        <f t="shared" si="26"/>
        <v>0</v>
      </c>
      <c r="J226" s="129"/>
    </row>
    <row r="227" spans="1:14" ht="17.100000000000001" customHeight="1" x14ac:dyDescent="0.25">
      <c r="A227" s="538">
        <v>3</v>
      </c>
      <c r="B227" s="180" t="s">
        <v>462</v>
      </c>
      <c r="C227" s="172">
        <f>C24</f>
        <v>2</v>
      </c>
      <c r="D227" s="172">
        <f t="shared" ref="D227:H227" si="27">D24</f>
        <v>9.8000000000000007</v>
      </c>
      <c r="E227" s="172">
        <f t="shared" si="27"/>
        <v>0</v>
      </c>
      <c r="F227" s="172">
        <f t="shared" si="27"/>
        <v>0</v>
      </c>
      <c r="G227" s="172">
        <f t="shared" si="27"/>
        <v>0</v>
      </c>
      <c r="H227" s="172">
        <f t="shared" si="27"/>
        <v>0</v>
      </c>
      <c r="J227" s="129"/>
      <c r="N227" s="673"/>
    </row>
    <row r="228" spans="1:14" ht="17.100000000000001" customHeight="1" x14ac:dyDescent="0.25">
      <c r="A228" s="167">
        <v>4</v>
      </c>
      <c r="B228" s="180" t="s">
        <v>396</v>
      </c>
      <c r="C228" s="172">
        <f>C31</f>
        <v>1</v>
      </c>
      <c r="D228" s="172">
        <f t="shared" ref="D228:H228" si="28">D31</f>
        <v>123.2</v>
      </c>
      <c r="E228" s="172">
        <f t="shared" si="28"/>
        <v>0</v>
      </c>
      <c r="F228" s="172">
        <f t="shared" si="28"/>
        <v>0</v>
      </c>
      <c r="G228" s="172">
        <f t="shared" si="28"/>
        <v>251400</v>
      </c>
      <c r="H228" s="172">
        <f t="shared" si="28"/>
        <v>0</v>
      </c>
      <c r="J228" s="129"/>
    </row>
    <row r="229" spans="1:14" ht="17.100000000000001" customHeight="1" x14ac:dyDescent="0.25">
      <c r="A229" s="538">
        <v>5</v>
      </c>
      <c r="B229" s="180" t="s">
        <v>466</v>
      </c>
      <c r="C229" s="172">
        <f>C37</f>
        <v>1</v>
      </c>
      <c r="D229" s="172">
        <f t="shared" ref="D229:H229" si="29">D37</f>
        <v>4.05</v>
      </c>
      <c r="E229" s="172">
        <f t="shared" si="29"/>
        <v>0</v>
      </c>
      <c r="F229" s="172">
        <f t="shared" si="29"/>
        <v>0</v>
      </c>
      <c r="G229" s="172">
        <f t="shared" si="29"/>
        <v>4052</v>
      </c>
      <c r="H229" s="172">
        <f t="shared" si="29"/>
        <v>0</v>
      </c>
      <c r="J229" s="129"/>
    </row>
    <row r="230" spans="1:14" ht="17.100000000000001" customHeight="1" x14ac:dyDescent="0.25">
      <c r="A230" s="167">
        <v>6</v>
      </c>
      <c r="B230" s="180" t="s">
        <v>464</v>
      </c>
      <c r="C230" s="172">
        <f>C43</f>
        <v>1</v>
      </c>
      <c r="D230" s="172">
        <f t="shared" ref="D230:H230" si="30">D43</f>
        <v>46.32</v>
      </c>
      <c r="E230" s="172">
        <f t="shared" si="30"/>
        <v>0</v>
      </c>
      <c r="F230" s="172">
        <f t="shared" si="30"/>
        <v>0</v>
      </c>
      <c r="G230" s="172">
        <f t="shared" si="30"/>
        <v>370560</v>
      </c>
      <c r="H230" s="172">
        <f t="shared" si="30"/>
        <v>0</v>
      </c>
      <c r="J230" s="129"/>
    </row>
    <row r="231" spans="1:14" ht="17.100000000000001" customHeight="1" x14ac:dyDescent="0.25">
      <c r="A231" s="538">
        <v>7</v>
      </c>
      <c r="B231" s="267" t="s">
        <v>16</v>
      </c>
      <c r="C231" s="172">
        <f t="shared" ref="C231:H231" si="31">C50</f>
        <v>4</v>
      </c>
      <c r="D231" s="265">
        <f t="shared" si="31"/>
        <v>769.75</v>
      </c>
      <c r="E231" s="171">
        <f t="shared" si="31"/>
        <v>870932</v>
      </c>
      <c r="F231" s="171">
        <f t="shared" si="31"/>
        <v>2474283222</v>
      </c>
      <c r="G231" s="171">
        <f t="shared" si="31"/>
        <v>470256000</v>
      </c>
      <c r="H231" s="172">
        <f t="shared" si="31"/>
        <v>1760</v>
      </c>
      <c r="J231" s="129"/>
    </row>
    <row r="232" spans="1:14" ht="17.100000000000001" customHeight="1" x14ac:dyDescent="0.25">
      <c r="A232" s="167">
        <v>8</v>
      </c>
      <c r="B232" s="180" t="s">
        <v>17</v>
      </c>
      <c r="C232" s="172">
        <f t="shared" ref="C232:H232" si="32">C61</f>
        <v>15</v>
      </c>
      <c r="D232" s="265">
        <f t="shared" si="32"/>
        <v>2448.625</v>
      </c>
      <c r="E232" s="171">
        <f t="shared" si="32"/>
        <v>3652137.4</v>
      </c>
      <c r="F232" s="171">
        <f t="shared" si="32"/>
        <v>17089097443</v>
      </c>
      <c r="G232" s="172">
        <f t="shared" si="32"/>
        <v>1048114545</v>
      </c>
      <c r="H232" s="172">
        <f t="shared" si="32"/>
        <v>1203</v>
      </c>
      <c r="J232" s="129">
        <f>F232/E232</f>
        <v>4679.2044141055594</v>
      </c>
    </row>
    <row r="233" spans="1:14" ht="17.100000000000001" customHeight="1" x14ac:dyDescent="0.25">
      <c r="A233" s="538">
        <v>9</v>
      </c>
      <c r="B233" s="267" t="s">
        <v>381</v>
      </c>
      <c r="C233" s="172">
        <f t="shared" ref="C233:H233" si="33">C70</f>
        <v>2</v>
      </c>
      <c r="D233" s="265">
        <f t="shared" si="33"/>
        <v>1680.45</v>
      </c>
      <c r="E233" s="171">
        <f t="shared" si="33"/>
        <v>1771592</v>
      </c>
      <c r="F233" s="171">
        <f t="shared" si="33"/>
        <v>33175388000</v>
      </c>
      <c r="G233" s="172">
        <f t="shared" si="33"/>
        <v>13166494833</v>
      </c>
      <c r="H233" s="172">
        <f t="shared" si="33"/>
        <v>4056</v>
      </c>
      <c r="J233" s="129"/>
    </row>
    <row r="234" spans="1:14" ht="17.100000000000001" customHeight="1" x14ac:dyDescent="0.25">
      <c r="A234" s="167">
        <v>10</v>
      </c>
      <c r="B234" s="267" t="s">
        <v>173</v>
      </c>
      <c r="C234" s="172">
        <f>C79</f>
        <v>3</v>
      </c>
      <c r="D234" s="172">
        <f t="shared" ref="D234:H234" si="34">D79</f>
        <v>1725.8225</v>
      </c>
      <c r="E234" s="172">
        <f t="shared" si="34"/>
        <v>310190</v>
      </c>
      <c r="F234" s="172">
        <f t="shared" si="34"/>
        <v>6669085000</v>
      </c>
      <c r="G234" s="172">
        <f t="shared" si="34"/>
        <v>1796337244</v>
      </c>
      <c r="H234" s="172">
        <f t="shared" si="34"/>
        <v>22810</v>
      </c>
      <c r="J234" s="129"/>
    </row>
    <row r="235" spans="1:14" ht="17.100000000000001" customHeight="1" x14ac:dyDescent="0.25">
      <c r="A235" s="538">
        <v>11</v>
      </c>
      <c r="B235" s="267" t="s">
        <v>174</v>
      </c>
      <c r="C235" s="172">
        <f>C87</f>
        <v>1</v>
      </c>
      <c r="D235" s="172">
        <f t="shared" ref="D235:H235" si="35">D87</f>
        <v>3620</v>
      </c>
      <c r="E235" s="172">
        <f t="shared" si="35"/>
        <v>1042284</v>
      </c>
      <c r="F235" s="172">
        <f t="shared" si="35"/>
        <v>16676544000</v>
      </c>
      <c r="G235" s="172">
        <f t="shared" si="35"/>
        <v>8769354509</v>
      </c>
      <c r="H235" s="172">
        <f t="shared" si="35"/>
        <v>2170</v>
      </c>
      <c r="J235" s="129"/>
    </row>
    <row r="236" spans="1:14" ht="17.100000000000001" customHeight="1" x14ac:dyDescent="0.25">
      <c r="A236" s="167">
        <v>12</v>
      </c>
      <c r="B236" s="180" t="s">
        <v>20</v>
      </c>
      <c r="C236" s="172">
        <f t="shared" ref="C236:H236" si="36">C102</f>
        <v>0</v>
      </c>
      <c r="D236" s="265">
        <f t="shared" si="36"/>
        <v>0</v>
      </c>
      <c r="E236" s="171">
        <f t="shared" si="36"/>
        <v>617.2349999999999</v>
      </c>
      <c r="F236" s="171">
        <f t="shared" si="36"/>
        <v>43206449999.999992</v>
      </c>
      <c r="G236" s="172">
        <f t="shared" si="36"/>
        <v>2701351200</v>
      </c>
      <c r="H236" s="172">
        <f t="shared" si="36"/>
        <v>0</v>
      </c>
      <c r="J236" s="129"/>
    </row>
    <row r="237" spans="1:14" ht="17.100000000000001" customHeight="1" x14ac:dyDescent="0.25">
      <c r="A237" s="538">
        <v>13</v>
      </c>
      <c r="B237" s="267" t="s">
        <v>21</v>
      </c>
      <c r="C237" s="172">
        <f t="shared" ref="C237:H237" si="37">C94</f>
        <v>1</v>
      </c>
      <c r="D237" s="265">
        <f t="shared" si="37"/>
        <v>18.898</v>
      </c>
      <c r="E237" s="171">
        <f t="shared" si="37"/>
        <v>997.58</v>
      </c>
      <c r="F237" s="171">
        <f t="shared" si="37"/>
        <v>3491530</v>
      </c>
      <c r="G237" s="171">
        <f t="shared" si="37"/>
        <v>276000</v>
      </c>
      <c r="H237" s="172">
        <f t="shared" si="37"/>
        <v>20</v>
      </c>
      <c r="J237" s="129"/>
    </row>
    <row r="238" spans="1:14" ht="17.100000000000001" customHeight="1" x14ac:dyDescent="0.25">
      <c r="A238" s="167">
        <v>14</v>
      </c>
      <c r="B238" s="180" t="s">
        <v>29</v>
      </c>
      <c r="C238" s="172">
        <f t="shared" ref="C238:H238" si="38">C111</f>
        <v>7</v>
      </c>
      <c r="D238" s="265">
        <f t="shared" si="38"/>
        <v>1247.6199999999999</v>
      </c>
      <c r="E238" s="172">
        <f t="shared" si="38"/>
        <v>0</v>
      </c>
      <c r="F238" s="172">
        <f t="shared" si="38"/>
        <v>0</v>
      </c>
      <c r="G238" s="171">
        <f t="shared" si="38"/>
        <v>30767</v>
      </c>
      <c r="H238" s="172">
        <f t="shared" si="38"/>
        <v>0</v>
      </c>
      <c r="J238" s="129"/>
    </row>
    <row r="239" spans="1:14" ht="17.100000000000001" customHeight="1" x14ac:dyDescent="0.25">
      <c r="A239" s="538">
        <v>15</v>
      </c>
      <c r="B239" s="267" t="s">
        <v>30</v>
      </c>
      <c r="C239" s="172">
        <f t="shared" ref="C239:H239" si="39">C121</f>
        <v>15</v>
      </c>
      <c r="D239" s="265">
        <f t="shared" si="39"/>
        <v>68.860700000000008</v>
      </c>
      <c r="E239" s="171">
        <f t="shared" si="39"/>
        <v>19058</v>
      </c>
      <c r="F239" s="171">
        <f t="shared" si="39"/>
        <v>79893522</v>
      </c>
      <c r="G239" s="171">
        <f t="shared" si="39"/>
        <v>3025970</v>
      </c>
      <c r="H239" s="172">
        <f t="shared" si="39"/>
        <v>40</v>
      </c>
      <c r="J239" s="129"/>
    </row>
    <row r="240" spans="1:14" ht="17.100000000000001" customHeight="1" x14ac:dyDescent="0.25">
      <c r="A240" s="167">
        <v>16</v>
      </c>
      <c r="B240" s="267" t="s">
        <v>34</v>
      </c>
      <c r="C240" s="172">
        <f t="shared" ref="C240:H240" si="40">C157</f>
        <v>7</v>
      </c>
      <c r="D240" s="265">
        <f t="shared" si="40"/>
        <v>14633.74</v>
      </c>
      <c r="E240" s="171">
        <f t="shared" si="40"/>
        <v>10311607.08</v>
      </c>
      <c r="F240" s="171">
        <f t="shared" si="40"/>
        <v>22807284669</v>
      </c>
      <c r="G240" s="171">
        <f t="shared" si="40"/>
        <v>1545417363</v>
      </c>
      <c r="H240" s="172">
        <f t="shared" si="40"/>
        <v>575</v>
      </c>
      <c r="J240" s="129"/>
    </row>
    <row r="241" spans="1:10" ht="17.100000000000001" customHeight="1" x14ac:dyDescent="0.25">
      <c r="A241" s="538">
        <v>17</v>
      </c>
      <c r="B241" s="267" t="s">
        <v>33</v>
      </c>
      <c r="C241" s="172">
        <f>C128</f>
        <v>3</v>
      </c>
      <c r="D241" s="172">
        <f t="shared" ref="D241:H241" si="41">D128</f>
        <v>154</v>
      </c>
      <c r="E241" s="172">
        <f t="shared" si="41"/>
        <v>0</v>
      </c>
      <c r="F241" s="172">
        <f t="shared" si="41"/>
        <v>0</v>
      </c>
      <c r="G241" s="172">
        <f t="shared" si="41"/>
        <v>0</v>
      </c>
      <c r="H241" s="172">
        <f t="shared" si="41"/>
        <v>0</v>
      </c>
      <c r="J241" s="129"/>
    </row>
    <row r="242" spans="1:10" ht="17.100000000000001" customHeight="1" x14ac:dyDescent="0.25">
      <c r="A242" s="167">
        <v>18</v>
      </c>
      <c r="B242" s="180" t="s">
        <v>35</v>
      </c>
      <c r="C242" s="172">
        <f t="shared" ref="C242:H242" si="42">C149</f>
        <v>48</v>
      </c>
      <c r="D242" s="265">
        <f t="shared" si="42"/>
        <v>22972.608400000001</v>
      </c>
      <c r="E242" s="171">
        <f t="shared" si="42"/>
        <v>102665678.31</v>
      </c>
      <c r="F242" s="171">
        <f t="shared" si="42"/>
        <v>69997966439</v>
      </c>
      <c r="G242" s="171">
        <f t="shared" si="42"/>
        <v>8432348795</v>
      </c>
      <c r="H242" s="172">
        <f t="shared" si="42"/>
        <v>4308</v>
      </c>
      <c r="J242" s="129">
        <v>278000000</v>
      </c>
    </row>
    <row r="243" spans="1:10" ht="17.100000000000001" customHeight="1" x14ac:dyDescent="0.25">
      <c r="A243" s="538">
        <v>19</v>
      </c>
      <c r="B243" s="180" t="s">
        <v>36</v>
      </c>
      <c r="C243" s="172">
        <f t="shared" ref="C243:H243" si="43">C165</f>
        <v>1</v>
      </c>
      <c r="D243" s="265">
        <f t="shared" si="43"/>
        <v>10</v>
      </c>
      <c r="E243" s="171">
        <f t="shared" si="43"/>
        <v>312</v>
      </c>
      <c r="F243" s="171">
        <f t="shared" si="43"/>
        <v>250000</v>
      </c>
      <c r="G243" s="171">
        <f t="shared" si="43"/>
        <v>5000</v>
      </c>
      <c r="H243" s="172">
        <f t="shared" si="43"/>
        <v>0</v>
      </c>
      <c r="J243" s="129">
        <v>60000</v>
      </c>
    </row>
    <row r="244" spans="1:10" ht="17.100000000000001" customHeight="1" x14ac:dyDescent="0.25">
      <c r="A244" s="167">
        <v>20</v>
      </c>
      <c r="B244" s="180" t="s">
        <v>42</v>
      </c>
      <c r="C244" s="172">
        <f t="shared" ref="C244:H244" si="44">C171</f>
        <v>1</v>
      </c>
      <c r="D244" s="265">
        <f t="shared" si="44"/>
        <v>1370.37</v>
      </c>
      <c r="E244" s="171">
        <f t="shared" si="44"/>
        <v>1004653</v>
      </c>
      <c r="F244" s="171">
        <f t="shared" si="44"/>
        <v>2059538650</v>
      </c>
      <c r="G244" s="171">
        <f t="shared" si="44"/>
        <v>1504458298</v>
      </c>
      <c r="H244" s="172">
        <f t="shared" si="44"/>
        <v>980</v>
      </c>
      <c r="J244" s="129">
        <v>346418120</v>
      </c>
    </row>
    <row r="245" spans="1:10" ht="17.100000000000001" customHeight="1" x14ac:dyDescent="0.25">
      <c r="A245" s="538">
        <v>21</v>
      </c>
      <c r="B245" s="267" t="s">
        <v>43</v>
      </c>
      <c r="C245" s="172">
        <f t="shared" ref="C245:H245" si="45">C179</f>
        <v>4</v>
      </c>
      <c r="D245" s="265">
        <f t="shared" si="45"/>
        <v>625.35</v>
      </c>
      <c r="E245" s="171">
        <f t="shared" si="45"/>
        <v>19571</v>
      </c>
      <c r="F245" s="171">
        <f t="shared" si="45"/>
        <v>34687090</v>
      </c>
      <c r="G245" s="171">
        <f t="shared" si="45"/>
        <v>3407550</v>
      </c>
      <c r="H245" s="172">
        <f t="shared" si="45"/>
        <v>25</v>
      </c>
      <c r="J245" s="129">
        <f>SUM(J242:J244)</f>
        <v>624478120</v>
      </c>
    </row>
    <row r="246" spans="1:10" ht="17.100000000000001" customHeight="1" x14ac:dyDescent="0.25">
      <c r="A246" s="167">
        <v>22</v>
      </c>
      <c r="B246" s="267" t="s">
        <v>45</v>
      </c>
      <c r="C246" s="172">
        <f t="shared" ref="C246:H246" si="46">C188</f>
        <v>17</v>
      </c>
      <c r="D246" s="265">
        <f t="shared" si="46"/>
        <v>168.965</v>
      </c>
      <c r="E246" s="171">
        <f t="shared" si="46"/>
        <v>39284</v>
      </c>
      <c r="F246" s="171">
        <f t="shared" si="46"/>
        <v>29462977</v>
      </c>
      <c r="G246" s="171">
        <f t="shared" si="46"/>
        <v>3759886</v>
      </c>
      <c r="H246" s="172">
        <f t="shared" si="46"/>
        <v>74</v>
      </c>
      <c r="J246" s="129"/>
    </row>
    <row r="247" spans="1:10" ht="17.100000000000001" customHeight="1" x14ac:dyDescent="0.25">
      <c r="A247" s="538">
        <v>23</v>
      </c>
      <c r="B247" s="267" t="s">
        <v>47</v>
      </c>
      <c r="C247" s="172">
        <f t="shared" ref="C247:H247" si="47">C197</f>
        <v>2</v>
      </c>
      <c r="D247" s="265">
        <f t="shared" si="47"/>
        <v>9.3099999999999987</v>
      </c>
      <c r="E247" s="171">
        <f t="shared" si="47"/>
        <v>0</v>
      </c>
      <c r="F247" s="171">
        <f t="shared" si="47"/>
        <v>0</v>
      </c>
      <c r="G247" s="171">
        <f t="shared" si="47"/>
        <v>67620</v>
      </c>
      <c r="H247" s="172">
        <f t="shared" si="47"/>
        <v>0</v>
      </c>
      <c r="J247" s="129"/>
    </row>
    <row r="248" spans="1:10" ht="17.100000000000001" customHeight="1" x14ac:dyDescent="0.25">
      <c r="A248" s="167">
        <v>24</v>
      </c>
      <c r="B248" s="180" t="s">
        <v>48</v>
      </c>
      <c r="C248" s="172">
        <f t="shared" ref="C248:H248" si="48">C208</f>
        <v>12</v>
      </c>
      <c r="D248" s="265">
        <f t="shared" si="48"/>
        <v>253.27999999999997</v>
      </c>
      <c r="E248" s="171">
        <f t="shared" si="48"/>
        <v>104524</v>
      </c>
      <c r="F248" s="171">
        <f t="shared" si="48"/>
        <v>149056941</v>
      </c>
      <c r="G248" s="171">
        <f t="shared" si="48"/>
        <v>10406280</v>
      </c>
      <c r="H248" s="172">
        <f t="shared" si="48"/>
        <v>16</v>
      </c>
      <c r="J248" s="129"/>
    </row>
    <row r="249" spans="1:10" ht="17.100000000000001" customHeight="1" x14ac:dyDescent="0.25">
      <c r="A249" s="167"/>
      <c r="B249" s="180" t="s">
        <v>458</v>
      </c>
      <c r="C249" s="172">
        <f>C215</f>
        <v>0</v>
      </c>
      <c r="D249" s="172">
        <f t="shared" ref="D249:H249" si="49">D215</f>
        <v>0</v>
      </c>
      <c r="E249" s="172">
        <f t="shared" si="49"/>
        <v>0</v>
      </c>
      <c r="F249" s="172">
        <f t="shared" si="49"/>
        <v>0</v>
      </c>
      <c r="G249" s="172">
        <f t="shared" si="49"/>
        <v>0</v>
      </c>
      <c r="H249" s="172">
        <f t="shared" si="49"/>
        <v>0</v>
      </c>
      <c r="J249" s="129"/>
    </row>
    <row r="250" spans="1:10" ht="17.100000000000001" customHeight="1" x14ac:dyDescent="0.25">
      <c r="A250" s="262"/>
      <c r="B250" s="263" t="s">
        <v>50</v>
      </c>
      <c r="C250" s="264">
        <f>SUM(C225:C249)</f>
        <v>148</v>
      </c>
      <c r="D250" s="264">
        <f t="shared" ref="D250:H250" si="50">SUM(D225:D249)</f>
        <v>51961.019599999992</v>
      </c>
      <c r="E250" s="264">
        <f t="shared" si="50"/>
        <v>121813437.605</v>
      </c>
      <c r="F250" s="681">
        <f t="shared" si="50"/>
        <v>214452479483</v>
      </c>
      <c r="G250" s="264">
        <f t="shared" si="50"/>
        <v>39455737872</v>
      </c>
      <c r="H250" s="264">
        <f t="shared" si="50"/>
        <v>38037</v>
      </c>
      <c r="J250" s="129"/>
    </row>
    <row r="252" spans="1:10" x14ac:dyDescent="0.25">
      <c r="B252" s="148" t="s">
        <v>279</v>
      </c>
      <c r="C252" s="123">
        <f>'Office Major'!C271</f>
        <v>148</v>
      </c>
      <c r="D252" s="123">
        <f>'Office Major'!D271</f>
        <v>51961.0196</v>
      </c>
      <c r="E252" s="123">
        <f>'Office Major'!E271</f>
        <v>121813437.605</v>
      </c>
      <c r="F252" s="129">
        <f>'Office Major'!F271</f>
        <v>214452479483</v>
      </c>
      <c r="G252" s="123">
        <f>'Office Major'!G271</f>
        <v>39455737872</v>
      </c>
      <c r="H252" s="123">
        <f>'Office Major'!H271</f>
        <v>38037</v>
      </c>
    </row>
    <row r="254" spans="1:10" x14ac:dyDescent="0.25">
      <c r="C254" s="123">
        <f>C250-C252</f>
        <v>0</v>
      </c>
      <c r="D254" s="123">
        <f t="shared" ref="D254:H254" si="51">D250-D252</f>
        <v>0</v>
      </c>
      <c r="E254" s="123">
        <f t="shared" si="51"/>
        <v>0</v>
      </c>
      <c r="F254" s="123">
        <f t="shared" si="51"/>
        <v>0</v>
      </c>
      <c r="G254" s="123">
        <f t="shared" si="51"/>
        <v>0</v>
      </c>
      <c r="H254" s="123">
        <f t="shared" si="51"/>
        <v>0</v>
      </c>
    </row>
  </sheetData>
  <mergeCells count="108">
    <mergeCell ref="B34:B35"/>
    <mergeCell ref="A37:B37"/>
    <mergeCell ref="A215:B215"/>
    <mergeCell ref="A182:H182"/>
    <mergeCell ref="A191:H191"/>
    <mergeCell ref="A199:H199"/>
    <mergeCell ref="A173:H173"/>
    <mergeCell ref="A210:H210"/>
    <mergeCell ref="A50:B50"/>
    <mergeCell ref="A52:H52"/>
    <mergeCell ref="A53:A54"/>
    <mergeCell ref="B53:B54"/>
    <mergeCell ref="A61:B61"/>
    <mergeCell ref="A63:H63"/>
    <mergeCell ref="A64:A65"/>
    <mergeCell ref="B64:B65"/>
    <mergeCell ref="A74:A75"/>
    <mergeCell ref="B74:B75"/>
    <mergeCell ref="A79:B79"/>
    <mergeCell ref="A72:H72"/>
    <mergeCell ref="A70:B70"/>
    <mergeCell ref="A81:H81"/>
    <mergeCell ref="A82:A83"/>
    <mergeCell ref="B82:B83"/>
    <mergeCell ref="A1:H1"/>
    <mergeCell ref="A2:H2"/>
    <mergeCell ref="A3:H3"/>
    <mergeCell ref="A11:H11"/>
    <mergeCell ref="A12:A13"/>
    <mergeCell ref="B12:B13"/>
    <mergeCell ref="A17:B17"/>
    <mergeCell ref="A45:H45"/>
    <mergeCell ref="A46:A47"/>
    <mergeCell ref="B46:B47"/>
    <mergeCell ref="A28:A29"/>
    <mergeCell ref="B28:B29"/>
    <mergeCell ref="A31:B31"/>
    <mergeCell ref="A19:H19"/>
    <mergeCell ref="A21:A22"/>
    <mergeCell ref="A40:A41"/>
    <mergeCell ref="B40:B41"/>
    <mergeCell ref="A43:B43"/>
    <mergeCell ref="B21:B22"/>
    <mergeCell ref="A24:B24"/>
    <mergeCell ref="A39:H39"/>
    <mergeCell ref="A26:H26"/>
    <mergeCell ref="A33:H33"/>
    <mergeCell ref="A34:A35"/>
    <mergeCell ref="A114:A115"/>
    <mergeCell ref="B114:B115"/>
    <mergeCell ref="A121:B121"/>
    <mergeCell ref="A106:A107"/>
    <mergeCell ref="B106:B107"/>
    <mergeCell ref="A111:B111"/>
    <mergeCell ref="A113:H113"/>
    <mergeCell ref="A123:H123"/>
    <mergeCell ref="A87:B87"/>
    <mergeCell ref="A91:A92"/>
    <mergeCell ref="B91:B92"/>
    <mergeCell ref="A90:H90"/>
    <mergeCell ref="A94:B94"/>
    <mergeCell ref="A97:A98"/>
    <mergeCell ref="B97:B98"/>
    <mergeCell ref="A102:B102"/>
    <mergeCell ref="A105:H105"/>
    <mergeCell ref="A96:H96"/>
    <mergeCell ref="B183:B184"/>
    <mergeCell ref="A211:A212"/>
    <mergeCell ref="B211:B212"/>
    <mergeCell ref="A124:A125"/>
    <mergeCell ref="B124:B125"/>
    <mergeCell ref="A152:A153"/>
    <mergeCell ref="B152:B153"/>
    <mergeCell ref="A157:B157"/>
    <mergeCell ref="A159:H159"/>
    <mergeCell ref="A160:A161"/>
    <mergeCell ref="B160:B161"/>
    <mergeCell ref="A128:B128"/>
    <mergeCell ref="A130:H130"/>
    <mergeCell ref="A131:A132"/>
    <mergeCell ref="B131:B132"/>
    <mergeCell ref="A149:B149"/>
    <mergeCell ref="A151:H151"/>
    <mergeCell ref="A167:H167"/>
    <mergeCell ref="A5:H5"/>
    <mergeCell ref="A6:A7"/>
    <mergeCell ref="B6:B7"/>
    <mergeCell ref="A9:B9"/>
    <mergeCell ref="A223:A224"/>
    <mergeCell ref="B223:B224"/>
    <mergeCell ref="A219:H219"/>
    <mergeCell ref="A220:H220"/>
    <mergeCell ref="A221:H221"/>
    <mergeCell ref="A165:B165"/>
    <mergeCell ref="A168:A169"/>
    <mergeCell ref="B168:B169"/>
    <mergeCell ref="A171:B171"/>
    <mergeCell ref="A174:A175"/>
    <mergeCell ref="B174:B175"/>
    <mergeCell ref="A179:B179"/>
    <mergeCell ref="A208:B208"/>
    <mergeCell ref="A200:A201"/>
    <mergeCell ref="B200:B201"/>
    <mergeCell ref="A192:A193"/>
    <mergeCell ref="B192:B193"/>
    <mergeCell ref="A188:B188"/>
    <mergeCell ref="A197:B197"/>
    <mergeCell ref="A183:A184"/>
  </mergeCells>
  <pageMargins left="0.7" right="0.7" top="0.75" bottom="0.75" header="0.3" footer="0.3"/>
  <pageSetup scale="72" orientation="portrait" r:id="rId1"/>
  <rowBreaks count="2" manualBreakCount="2">
    <brk id="62" max="9" man="1"/>
    <brk id="21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4"/>
  <sheetViews>
    <sheetView tabSelected="1" topLeftCell="A589" workbookViewId="0">
      <selection activeCell="M8" sqref="M8"/>
    </sheetView>
  </sheetViews>
  <sheetFormatPr defaultColWidth="9.140625" defaultRowHeight="15" x14ac:dyDescent="0.25"/>
  <cols>
    <col min="1" max="1" width="6.7109375" style="28" customWidth="1"/>
    <col min="2" max="2" width="23.7109375" style="28" customWidth="1"/>
    <col min="3" max="3" width="9.140625" style="28"/>
    <col min="4" max="4" width="12.7109375" style="28" customWidth="1"/>
    <col min="5" max="5" width="13.28515625" style="28" customWidth="1"/>
    <col min="6" max="6" width="17.140625" style="28" customWidth="1"/>
    <col min="7" max="7" width="16.5703125" style="28" customWidth="1"/>
    <col min="8" max="8" width="15" style="28" customWidth="1"/>
    <col min="9" max="9" width="9.140625" style="28"/>
    <col min="10" max="10" width="8.28515625" style="28" customWidth="1"/>
    <col min="11" max="11" width="12.5703125" style="28" bestFit="1" customWidth="1"/>
    <col min="12" max="16384" width="9.140625" style="28"/>
  </cols>
  <sheetData>
    <row r="1" spans="1:11" ht="30.75" x14ac:dyDescent="0.25">
      <c r="A1" s="1139" t="s">
        <v>0</v>
      </c>
      <c r="B1" s="1139"/>
      <c r="C1" s="1139"/>
      <c r="D1" s="1139"/>
      <c r="E1" s="1139"/>
      <c r="F1" s="1139"/>
      <c r="G1" s="1139"/>
      <c r="H1" s="1139"/>
    </row>
    <row r="2" spans="1:11" ht="25.5" x14ac:dyDescent="0.25">
      <c r="A2" s="1140" t="s">
        <v>132</v>
      </c>
      <c r="B2" s="1140"/>
      <c r="C2" s="1140"/>
      <c r="D2" s="1140"/>
      <c r="E2" s="1140"/>
      <c r="F2" s="1140"/>
      <c r="G2" s="1140"/>
      <c r="H2" s="1140"/>
    </row>
    <row r="3" spans="1:11" ht="22.5" x14ac:dyDescent="0.25">
      <c r="A3" s="1141" t="str">
        <f>'Major Minerals'!A3:H3</f>
        <v>Financial Year 2023-24</v>
      </c>
      <c r="B3" s="1141"/>
      <c r="C3" s="1141"/>
      <c r="D3" s="1141"/>
      <c r="E3" s="1141"/>
      <c r="F3" s="1141"/>
      <c r="G3" s="1141"/>
      <c r="H3" s="1141"/>
    </row>
    <row r="4" spans="1:11" ht="18.75" x14ac:dyDescent="0.3">
      <c r="A4" s="1142" t="s">
        <v>23</v>
      </c>
      <c r="B4" s="1142"/>
      <c r="C4" s="1142"/>
      <c r="D4" s="1142"/>
      <c r="E4" s="1142"/>
      <c r="F4" s="1142"/>
      <c r="G4" s="1142"/>
      <c r="H4" s="1142"/>
    </row>
    <row r="5" spans="1:11" s="432" customFormat="1" ht="17.100000000000001" customHeight="1" x14ac:dyDescent="0.25">
      <c r="A5" s="1122" t="s">
        <v>2</v>
      </c>
      <c r="B5" s="1124" t="s">
        <v>77</v>
      </c>
      <c r="C5" s="249" t="s">
        <v>4</v>
      </c>
      <c r="D5" s="249" t="s">
        <v>5</v>
      </c>
      <c r="E5" s="249" t="s">
        <v>6</v>
      </c>
      <c r="F5" s="249" t="s">
        <v>7</v>
      </c>
      <c r="G5" s="249" t="s">
        <v>8</v>
      </c>
      <c r="H5" s="249" t="s">
        <v>9</v>
      </c>
    </row>
    <row r="6" spans="1:11" s="432" customFormat="1" ht="17.100000000000001" customHeight="1" x14ac:dyDescent="0.25">
      <c r="A6" s="1123"/>
      <c r="B6" s="1125"/>
      <c r="C6" s="235" t="s">
        <v>10</v>
      </c>
      <c r="D6" s="235" t="s">
        <v>78</v>
      </c>
      <c r="E6" s="235" t="s">
        <v>79</v>
      </c>
      <c r="F6" s="56" t="s">
        <v>80</v>
      </c>
      <c r="G6" s="56" t="s">
        <v>80</v>
      </c>
      <c r="H6" s="235" t="s">
        <v>13</v>
      </c>
    </row>
    <row r="7" spans="1:11" s="432" customFormat="1" ht="17.100000000000001" customHeight="1" x14ac:dyDescent="0.25">
      <c r="A7" s="166">
        <v>1</v>
      </c>
      <c r="B7" s="19" t="s">
        <v>96</v>
      </c>
      <c r="C7" s="137">
        <f>'Office Minor'!C199</f>
        <v>211</v>
      </c>
      <c r="D7" s="137">
        <f>'Office Minor'!D199</f>
        <v>5430.13</v>
      </c>
      <c r="E7" s="137">
        <f>'Office Minor'!E199</f>
        <v>8107862</v>
      </c>
      <c r="F7" s="137">
        <f>'Office Minor'!F199</f>
        <v>5675503400</v>
      </c>
      <c r="G7" s="137">
        <f>'Office Minor'!G199</f>
        <v>648976967</v>
      </c>
      <c r="H7" s="137">
        <f>'Office Minor'!H199</f>
        <v>1110</v>
      </c>
      <c r="K7" s="432">
        <f>F7/E7</f>
        <v>700</v>
      </c>
    </row>
    <row r="8" spans="1:11" s="432" customFormat="1" ht="17.100000000000001" customHeight="1" x14ac:dyDescent="0.25">
      <c r="A8" s="166">
        <v>2</v>
      </c>
      <c r="B8" s="19" t="s">
        <v>100</v>
      </c>
      <c r="C8" s="137">
        <f>'Office Minor'!C708</f>
        <v>0</v>
      </c>
      <c r="D8" s="137">
        <f>'Office Minor'!D708</f>
        <v>0</v>
      </c>
      <c r="E8" s="137">
        <f>'Office Minor'!E708</f>
        <v>0</v>
      </c>
      <c r="F8" s="137">
        <f>'Office Minor'!F708</f>
        <v>0</v>
      </c>
      <c r="G8" s="137">
        <f>'Office Minor'!G708</f>
        <v>0</v>
      </c>
      <c r="H8" s="137">
        <f>'Office Minor'!H708</f>
        <v>0</v>
      </c>
      <c r="K8" s="432" t="e">
        <f t="shared" ref="K8:K71" si="0">F8/E8</f>
        <v>#DIV/0!</v>
      </c>
    </row>
    <row r="9" spans="1:11" s="432" customFormat="1" ht="17.100000000000001" customHeight="1" x14ac:dyDescent="0.25">
      <c r="A9" s="166">
        <v>3</v>
      </c>
      <c r="B9" s="19" t="s">
        <v>145</v>
      </c>
      <c r="C9" s="137">
        <f>'Office Minor'!C66</f>
        <v>0</v>
      </c>
      <c r="D9" s="137">
        <f>'Office Minor'!D66</f>
        <v>0</v>
      </c>
      <c r="E9" s="137">
        <f>'Office Minor'!E66</f>
        <v>0</v>
      </c>
      <c r="F9" s="137">
        <f>'Office Minor'!F66</f>
        <v>0</v>
      </c>
      <c r="G9" s="137">
        <f>'Office Minor'!G66</f>
        <v>0</v>
      </c>
      <c r="H9" s="137">
        <f>'Office Minor'!H66</f>
        <v>0</v>
      </c>
      <c r="K9" s="432" t="e">
        <f t="shared" si="0"/>
        <v>#DIV/0!</v>
      </c>
    </row>
    <row r="10" spans="1:11" s="432" customFormat="1" ht="17.100000000000001" customHeight="1" x14ac:dyDescent="0.25">
      <c r="A10" s="166">
        <v>4</v>
      </c>
      <c r="B10" s="19" t="s">
        <v>154</v>
      </c>
      <c r="C10" s="166">
        <f>'Office Minor'!C348</f>
        <v>3</v>
      </c>
      <c r="D10" s="166">
        <f>'Office Minor'!D348</f>
        <v>13</v>
      </c>
      <c r="E10" s="166">
        <f>'Office Minor'!E348</f>
        <v>32.909999999999997</v>
      </c>
      <c r="F10" s="166">
        <f>'Office Minor'!F348</f>
        <v>14480.399999999998</v>
      </c>
      <c r="G10" s="166">
        <f>'Office Minor'!G348</f>
        <v>522386</v>
      </c>
      <c r="H10" s="166">
        <f>'Office Minor'!H348</f>
        <v>1</v>
      </c>
      <c r="K10" s="432">
        <f t="shared" si="0"/>
        <v>440</v>
      </c>
    </row>
    <row r="11" spans="1:11" s="432" customFormat="1" ht="17.100000000000001" customHeight="1" x14ac:dyDescent="0.25">
      <c r="A11" s="1136" t="s">
        <v>50</v>
      </c>
      <c r="B11" s="1137"/>
      <c r="C11" s="259">
        <f>SUM(C7:C10)</f>
        <v>214</v>
      </c>
      <c r="D11" s="260">
        <f t="shared" ref="D11:H11" si="1">SUM(D7:D10)</f>
        <v>5443.13</v>
      </c>
      <c r="E11" s="261">
        <f t="shared" si="1"/>
        <v>8107894.9100000001</v>
      </c>
      <c r="F11" s="261">
        <f t="shared" si="1"/>
        <v>5675517880.3999996</v>
      </c>
      <c r="G11" s="261">
        <f>SUM(G7:G10)</f>
        <v>649499353</v>
      </c>
      <c r="H11" s="259">
        <f t="shared" si="1"/>
        <v>1111</v>
      </c>
      <c r="K11" s="432">
        <f t="shared" si="0"/>
        <v>699.99894465825037</v>
      </c>
    </row>
    <row r="12" spans="1:11" s="432" customFormat="1" ht="17.100000000000001" customHeight="1" x14ac:dyDescent="0.25">
      <c r="A12" s="412"/>
      <c r="B12" s="413"/>
      <c r="C12" s="414"/>
      <c r="D12" s="415"/>
      <c r="E12" s="416"/>
      <c r="F12" s="416"/>
      <c r="G12" s="416"/>
      <c r="H12" s="414"/>
      <c r="K12" s="432" t="e">
        <f t="shared" si="0"/>
        <v>#DIV/0!</v>
      </c>
    </row>
    <row r="13" spans="1:11" s="432" customFormat="1" ht="17.100000000000001" customHeight="1" x14ac:dyDescent="0.25">
      <c r="A13" s="1138" t="s">
        <v>24</v>
      </c>
      <c r="B13" s="1138"/>
      <c r="C13" s="1138"/>
      <c r="D13" s="1138"/>
      <c r="E13" s="1138"/>
      <c r="F13" s="1138"/>
      <c r="G13" s="1138"/>
      <c r="H13" s="1138"/>
      <c r="K13" s="432" t="e">
        <f t="shared" si="0"/>
        <v>#DIV/0!</v>
      </c>
    </row>
    <row r="14" spans="1:11" s="432" customFormat="1" ht="17.100000000000001" customHeight="1" x14ac:dyDescent="0.25">
      <c r="A14" s="1122" t="s">
        <v>2</v>
      </c>
      <c r="B14" s="1124" t="s">
        <v>77</v>
      </c>
      <c r="C14" s="249" t="s">
        <v>4</v>
      </c>
      <c r="D14" s="249" t="s">
        <v>5</v>
      </c>
      <c r="E14" s="249" t="s">
        <v>6</v>
      </c>
      <c r="F14" s="249" t="s">
        <v>7</v>
      </c>
      <c r="G14" s="249" t="s">
        <v>8</v>
      </c>
      <c r="H14" s="249" t="s">
        <v>9</v>
      </c>
      <c r="K14" s="432" t="e">
        <f t="shared" si="0"/>
        <v>#VALUE!</v>
      </c>
    </row>
    <row r="15" spans="1:11" s="432" customFormat="1" ht="17.100000000000001" customHeight="1" x14ac:dyDescent="0.25">
      <c r="A15" s="1123"/>
      <c r="B15" s="1125"/>
      <c r="C15" s="2" t="s">
        <v>10</v>
      </c>
      <c r="D15" s="2" t="s">
        <v>78</v>
      </c>
      <c r="E15" s="2" t="s">
        <v>79</v>
      </c>
      <c r="F15" s="52" t="s">
        <v>80</v>
      </c>
      <c r="G15" s="52" t="s">
        <v>80</v>
      </c>
      <c r="H15" s="2" t="s">
        <v>13</v>
      </c>
      <c r="K15" s="432" t="e">
        <f t="shared" si="0"/>
        <v>#VALUE!</v>
      </c>
    </row>
    <row r="16" spans="1:11" s="432" customFormat="1" ht="17.100000000000001" customHeight="1" x14ac:dyDescent="0.25">
      <c r="A16" s="166">
        <v>1</v>
      </c>
      <c r="B16" s="19" t="s">
        <v>83</v>
      </c>
      <c r="C16" s="166">
        <f>'Office Minor'!C793</f>
        <v>1</v>
      </c>
      <c r="D16" s="166">
        <f>'Office Minor'!D793</f>
        <v>31</v>
      </c>
      <c r="E16" s="166">
        <f>'Office Minor'!E793</f>
        <v>6002</v>
      </c>
      <c r="F16" s="166">
        <f>'Office Minor'!F793</f>
        <v>7802600</v>
      </c>
      <c r="G16" s="166">
        <f>'Office Minor'!G793</f>
        <v>755260</v>
      </c>
      <c r="H16" s="166">
        <f>'Office Minor'!H793</f>
        <v>9</v>
      </c>
      <c r="K16" s="432">
        <f t="shared" si="0"/>
        <v>1300</v>
      </c>
    </row>
    <row r="17" spans="1:11" s="432" customFormat="1" ht="17.100000000000001" customHeight="1" x14ac:dyDescent="0.25">
      <c r="A17" s="627">
        <v>2</v>
      </c>
      <c r="B17" s="628" t="s">
        <v>90</v>
      </c>
      <c r="C17" s="166">
        <f>'Office Minor'!C606</f>
        <v>0</v>
      </c>
      <c r="D17" s="166">
        <f>'Office Minor'!D606</f>
        <v>0</v>
      </c>
      <c r="E17" s="166">
        <f>'Office Minor'!E606</f>
        <v>0</v>
      </c>
      <c r="F17" s="166">
        <f>'Office Minor'!F606</f>
        <v>0</v>
      </c>
      <c r="G17" s="166">
        <f>'Office Minor'!G606</f>
        <v>0</v>
      </c>
      <c r="H17" s="166">
        <f>'Office Minor'!H606</f>
        <v>0</v>
      </c>
      <c r="K17" s="432" t="e">
        <f t="shared" si="0"/>
        <v>#DIV/0!</v>
      </c>
    </row>
    <row r="18" spans="1:11" s="432" customFormat="1" ht="17.100000000000001" customHeight="1" x14ac:dyDescent="0.25">
      <c r="A18" s="1136" t="s">
        <v>50</v>
      </c>
      <c r="B18" s="1137"/>
      <c r="C18" s="259">
        <f>SUM(C16:C17)</f>
        <v>1</v>
      </c>
      <c r="D18" s="260">
        <f t="shared" ref="D18:H18" si="2">SUM(D16:D17)</f>
        <v>31</v>
      </c>
      <c r="E18" s="261">
        <f t="shared" si="2"/>
        <v>6002</v>
      </c>
      <c r="F18" s="261">
        <f t="shared" si="2"/>
        <v>7802600</v>
      </c>
      <c r="G18" s="261">
        <f t="shared" si="2"/>
        <v>755260</v>
      </c>
      <c r="H18" s="259">
        <f t="shared" si="2"/>
        <v>9</v>
      </c>
      <c r="K18" s="432">
        <f t="shared" si="0"/>
        <v>1300</v>
      </c>
    </row>
    <row r="19" spans="1:11" s="432" customFormat="1" ht="17.100000000000001" customHeight="1" x14ac:dyDescent="0.25">
      <c r="A19" s="29"/>
      <c r="B19" s="29"/>
      <c r="C19" s="29"/>
      <c r="D19" s="29"/>
      <c r="E19" s="29"/>
      <c r="F19" s="29"/>
      <c r="G19" s="29"/>
      <c r="H19" s="29"/>
      <c r="K19" s="432" t="e">
        <f t="shared" si="0"/>
        <v>#DIV/0!</v>
      </c>
    </row>
    <row r="20" spans="1:11" s="432" customFormat="1" ht="17.100000000000001" customHeight="1" x14ac:dyDescent="0.25">
      <c r="A20" s="1155" t="s">
        <v>53</v>
      </c>
      <c r="B20" s="1155"/>
      <c r="C20" s="1155"/>
      <c r="D20" s="1155"/>
      <c r="E20" s="1155"/>
      <c r="F20" s="1155"/>
      <c r="G20" s="1155"/>
      <c r="H20" s="1155"/>
      <c r="K20" s="432" t="e">
        <f t="shared" si="0"/>
        <v>#DIV/0!</v>
      </c>
    </row>
    <row r="21" spans="1:11" s="432" customFormat="1" ht="17.100000000000001" customHeight="1" x14ac:dyDescent="0.25">
      <c r="A21" s="1122" t="s">
        <v>2</v>
      </c>
      <c r="B21" s="1124" t="s">
        <v>77</v>
      </c>
      <c r="C21" s="249" t="s">
        <v>4</v>
      </c>
      <c r="D21" s="249" t="s">
        <v>5</v>
      </c>
      <c r="E21" s="249" t="s">
        <v>6</v>
      </c>
      <c r="F21" s="249" t="s">
        <v>7</v>
      </c>
      <c r="G21" s="249" t="s">
        <v>8</v>
      </c>
      <c r="H21" s="249" t="s">
        <v>9</v>
      </c>
      <c r="K21" s="432" t="e">
        <f t="shared" si="0"/>
        <v>#VALUE!</v>
      </c>
    </row>
    <row r="22" spans="1:11" s="432" customFormat="1" ht="17.100000000000001" customHeight="1" x14ac:dyDescent="0.25">
      <c r="A22" s="1123"/>
      <c r="B22" s="1125"/>
      <c r="C22" s="2" t="s">
        <v>10</v>
      </c>
      <c r="D22" s="2" t="s">
        <v>52</v>
      </c>
      <c r="E22" s="2" t="s">
        <v>79</v>
      </c>
      <c r="F22" s="2" t="s">
        <v>80</v>
      </c>
      <c r="G22" s="2" t="s">
        <v>80</v>
      </c>
      <c r="H22" s="2" t="s">
        <v>13</v>
      </c>
      <c r="K22" s="432" t="e">
        <f t="shared" si="0"/>
        <v>#VALUE!</v>
      </c>
    </row>
    <row r="23" spans="1:11" s="432" customFormat="1" ht="17.100000000000001" customHeight="1" x14ac:dyDescent="0.25">
      <c r="A23" s="166">
        <v>1</v>
      </c>
      <c r="B23" s="433" t="s">
        <v>128</v>
      </c>
      <c r="C23" s="255">
        <f>'Office Minor'!C398</f>
        <v>12</v>
      </c>
      <c r="D23" s="255">
        <f>'Office Minor'!D398</f>
        <v>13.07</v>
      </c>
      <c r="E23" s="255">
        <f>'Office Minor'!E398</f>
        <v>11646</v>
      </c>
      <c r="F23" s="255">
        <f>'Office Minor'!F398</f>
        <v>7686360</v>
      </c>
      <c r="G23" s="255">
        <f>'Office Minor'!G398</f>
        <v>516190</v>
      </c>
      <c r="H23" s="255">
        <f>'Office Minor'!H398</f>
        <v>40</v>
      </c>
      <c r="K23" s="432">
        <f t="shared" si="0"/>
        <v>660</v>
      </c>
    </row>
    <row r="24" spans="1:11" s="432" customFormat="1" ht="17.100000000000001" customHeight="1" x14ac:dyDescent="0.25">
      <c r="A24" s="166">
        <v>2</v>
      </c>
      <c r="B24" s="433" t="s">
        <v>151</v>
      </c>
      <c r="C24" s="255">
        <f>'Office Minor'!C105</f>
        <v>36</v>
      </c>
      <c r="D24" s="137">
        <f>'Office Minor'!D105</f>
        <v>90.07</v>
      </c>
      <c r="E24" s="137">
        <f>'Office Minor'!E105</f>
        <v>444026</v>
      </c>
      <c r="F24" s="137">
        <f>'Office Minor'!F105</f>
        <v>288617394</v>
      </c>
      <c r="G24" s="137">
        <f>'Office Minor'!G105</f>
        <v>90809769</v>
      </c>
      <c r="H24" s="137">
        <f>'Office Minor'!H105</f>
        <v>325</v>
      </c>
      <c r="K24" s="432">
        <f t="shared" si="0"/>
        <v>650.00111254746344</v>
      </c>
    </row>
    <row r="25" spans="1:11" s="432" customFormat="1" ht="17.100000000000001" customHeight="1" x14ac:dyDescent="0.25">
      <c r="A25" s="627">
        <v>3</v>
      </c>
      <c r="B25" s="959" t="s">
        <v>472</v>
      </c>
      <c r="C25" s="255">
        <f>'Office Minor'!C282</f>
        <v>0</v>
      </c>
      <c r="D25" s="255">
        <f>'Office Minor'!D282</f>
        <v>0</v>
      </c>
      <c r="E25" s="255">
        <f>'Office Minor'!E282</f>
        <v>0</v>
      </c>
      <c r="F25" s="255">
        <f>'Office Minor'!F282</f>
        <v>0</v>
      </c>
      <c r="G25" s="255">
        <f>'Office Minor'!G282</f>
        <v>0</v>
      </c>
      <c r="H25" s="255">
        <f>'Office Minor'!H282</f>
        <v>0</v>
      </c>
      <c r="K25" s="432" t="e">
        <f t="shared" si="0"/>
        <v>#DIV/0!</v>
      </c>
    </row>
    <row r="26" spans="1:11" s="432" customFormat="1" ht="17.100000000000001" customHeight="1" x14ac:dyDescent="0.25">
      <c r="A26" s="1136" t="s">
        <v>50</v>
      </c>
      <c r="B26" s="1137"/>
      <c r="C26" s="971">
        <f>SUM(C23:C25)</f>
        <v>48</v>
      </c>
      <c r="D26" s="971">
        <f t="shared" ref="D26:H26" si="3">SUM(D23:D25)</f>
        <v>103.13999999999999</v>
      </c>
      <c r="E26" s="971">
        <f t="shared" si="3"/>
        <v>455672</v>
      </c>
      <c r="F26" s="971">
        <f t="shared" si="3"/>
        <v>296303754</v>
      </c>
      <c r="G26" s="971">
        <f t="shared" si="3"/>
        <v>91325959</v>
      </c>
      <c r="H26" s="971">
        <f t="shared" si="3"/>
        <v>365</v>
      </c>
      <c r="K26" s="432">
        <f t="shared" si="0"/>
        <v>650.25666268719601</v>
      </c>
    </row>
    <row r="27" spans="1:11" s="432" customFormat="1" ht="17.100000000000001" customHeight="1" x14ac:dyDescent="0.25">
      <c r="A27" s="434"/>
      <c r="B27" s="434"/>
      <c r="C27" s="434"/>
      <c r="D27" s="434"/>
      <c r="E27" s="434"/>
      <c r="F27" s="434"/>
      <c r="G27" s="434"/>
      <c r="H27" s="434"/>
      <c r="K27" s="432" t="e">
        <f t="shared" si="0"/>
        <v>#DIV/0!</v>
      </c>
    </row>
    <row r="28" spans="1:11" s="432" customFormat="1" ht="17.100000000000001" customHeight="1" x14ac:dyDescent="0.25">
      <c r="A28" s="1155" t="s">
        <v>133</v>
      </c>
      <c r="B28" s="1155"/>
      <c r="C28" s="1155"/>
      <c r="D28" s="1155"/>
      <c r="E28" s="1155"/>
      <c r="F28" s="1155"/>
      <c r="G28" s="1155"/>
      <c r="H28" s="1155"/>
      <c r="K28" s="432" t="e">
        <f t="shared" si="0"/>
        <v>#DIV/0!</v>
      </c>
    </row>
    <row r="29" spans="1:11" s="432" customFormat="1" ht="17.100000000000001" customHeight="1" x14ac:dyDescent="0.25">
      <c r="A29" s="1122" t="s">
        <v>2</v>
      </c>
      <c r="B29" s="1124" t="s">
        <v>77</v>
      </c>
      <c r="C29" s="249" t="s">
        <v>4</v>
      </c>
      <c r="D29" s="249" t="s">
        <v>5</v>
      </c>
      <c r="E29" s="249" t="s">
        <v>6</v>
      </c>
      <c r="F29" s="249" t="s">
        <v>7</v>
      </c>
      <c r="G29" s="249" t="s">
        <v>8</v>
      </c>
      <c r="H29" s="249" t="s">
        <v>9</v>
      </c>
      <c r="K29" s="432" t="e">
        <f t="shared" si="0"/>
        <v>#VALUE!</v>
      </c>
    </row>
    <row r="30" spans="1:11" s="432" customFormat="1" ht="17.100000000000001" customHeight="1" x14ac:dyDescent="0.25">
      <c r="A30" s="1123"/>
      <c r="B30" s="1125"/>
      <c r="C30" s="2" t="s">
        <v>10</v>
      </c>
      <c r="D30" s="2" t="s">
        <v>52</v>
      </c>
      <c r="E30" s="2" t="s">
        <v>79</v>
      </c>
      <c r="F30" s="52" t="s">
        <v>80</v>
      </c>
      <c r="G30" s="52" t="s">
        <v>80</v>
      </c>
      <c r="H30" s="2" t="s">
        <v>13</v>
      </c>
      <c r="K30" s="432" t="e">
        <f t="shared" si="0"/>
        <v>#VALUE!</v>
      </c>
    </row>
    <row r="31" spans="1:11" s="432" customFormat="1" ht="17.100000000000001" customHeight="1" x14ac:dyDescent="0.25">
      <c r="A31" s="166">
        <v>2</v>
      </c>
      <c r="B31" s="433" t="s">
        <v>86</v>
      </c>
      <c r="C31" s="137">
        <f>'Office Minor'!C48</f>
        <v>0</v>
      </c>
      <c r="D31" s="137">
        <f>'Office Minor'!D48</f>
        <v>0</v>
      </c>
      <c r="E31" s="137">
        <f>'Office Minor'!E48</f>
        <v>0</v>
      </c>
      <c r="F31" s="137">
        <f>'Office Minor'!F48</f>
        <v>0</v>
      </c>
      <c r="G31" s="137">
        <f>'Office Minor'!G48</f>
        <v>0</v>
      </c>
      <c r="H31" s="137">
        <f>'Office Minor'!H48</f>
        <v>0</v>
      </c>
      <c r="K31" s="432" t="e">
        <f t="shared" si="0"/>
        <v>#DIV/0!</v>
      </c>
    </row>
    <row r="32" spans="1:11" s="432" customFormat="1" ht="17.100000000000001" customHeight="1" x14ac:dyDescent="0.25">
      <c r="A32" s="166">
        <v>3</v>
      </c>
      <c r="B32" s="433" t="s">
        <v>191</v>
      </c>
      <c r="C32" s="137">
        <f>'Office Minor'!C129</f>
        <v>0</v>
      </c>
      <c r="D32" s="137">
        <f>'Office Minor'!D129</f>
        <v>0</v>
      </c>
      <c r="E32" s="137">
        <f>'Office Minor'!E129</f>
        <v>29400</v>
      </c>
      <c r="F32" s="137">
        <f>'Office Minor'!F129</f>
        <v>6174000</v>
      </c>
      <c r="G32" s="137">
        <f>'Office Minor'!G129</f>
        <v>940800</v>
      </c>
      <c r="H32" s="137">
        <f>'Office Minor'!H129</f>
        <v>24</v>
      </c>
      <c r="K32" s="432">
        <f t="shared" si="0"/>
        <v>210</v>
      </c>
    </row>
    <row r="33" spans="1:11" s="432" customFormat="1" ht="17.100000000000001" customHeight="1" x14ac:dyDescent="0.25">
      <c r="A33" s="166">
        <v>4</v>
      </c>
      <c r="B33" s="433" t="s">
        <v>150</v>
      </c>
      <c r="C33" s="137">
        <f>'Office Minor'!C78</f>
        <v>0</v>
      </c>
      <c r="D33" s="137">
        <f>'Office Minor'!D78</f>
        <v>0</v>
      </c>
      <c r="E33" s="137">
        <f>'Office Minor'!E78</f>
        <v>4356.0200000000004</v>
      </c>
      <c r="F33" s="137">
        <f>'Office Minor'!F78</f>
        <v>958324</v>
      </c>
      <c r="G33" s="137">
        <f>'Office Minor'!G78</f>
        <v>273710</v>
      </c>
      <c r="H33" s="137">
        <f>'Office Minor'!H78</f>
        <v>25</v>
      </c>
      <c r="K33" s="432">
        <f t="shared" si="0"/>
        <v>219.99990817305704</v>
      </c>
    </row>
    <row r="34" spans="1:11" s="432" customFormat="1" ht="17.100000000000001" customHeight="1" x14ac:dyDescent="0.25">
      <c r="A34" s="166">
        <v>5</v>
      </c>
      <c r="B34" s="433" t="s">
        <v>113</v>
      </c>
      <c r="C34" s="63">
        <f>'Office Minor'!C158</f>
        <v>0</v>
      </c>
      <c r="D34" s="63">
        <f>'Office Minor'!D158</f>
        <v>245.6</v>
      </c>
      <c r="E34" s="63">
        <f>'Office Minor'!E158</f>
        <v>991200</v>
      </c>
      <c r="F34" s="63">
        <f>'Office Minor'!F158</f>
        <v>218064000</v>
      </c>
      <c r="G34" s="63">
        <f>'Office Minor'!G158</f>
        <v>29149172</v>
      </c>
      <c r="H34" s="63">
        <f>'Office Minor'!H158</f>
        <v>4400</v>
      </c>
      <c r="K34" s="432">
        <f t="shared" si="0"/>
        <v>220</v>
      </c>
    </row>
    <row r="35" spans="1:11" s="432" customFormat="1" ht="17.100000000000001" customHeight="1" x14ac:dyDescent="0.25">
      <c r="A35" s="166">
        <v>6</v>
      </c>
      <c r="B35" s="433" t="s">
        <v>81</v>
      </c>
      <c r="C35" s="137">
        <f>'Office Minor'!C174</f>
        <v>0</v>
      </c>
      <c r="D35" s="137">
        <f>'Office Minor'!D174</f>
        <v>150</v>
      </c>
      <c r="E35" s="137">
        <f>'Office Minor'!E174</f>
        <v>336640</v>
      </c>
      <c r="F35" s="137">
        <f>'Office Minor'!F174</f>
        <v>74060800</v>
      </c>
      <c r="G35" s="137">
        <f>'Office Minor'!G174</f>
        <v>673280</v>
      </c>
      <c r="H35" s="137">
        <f>'Office Minor'!H174</f>
        <v>1650</v>
      </c>
      <c r="K35" s="432">
        <f t="shared" si="0"/>
        <v>220</v>
      </c>
    </row>
    <row r="36" spans="1:11" s="432" customFormat="1" ht="17.100000000000001" customHeight="1" x14ac:dyDescent="0.25">
      <c r="A36" s="166">
        <v>7</v>
      </c>
      <c r="B36" s="433" t="s">
        <v>96</v>
      </c>
      <c r="C36" s="63">
        <f>'Office Minor'!C196</f>
        <v>0</v>
      </c>
      <c r="D36" s="63">
        <f>'Office Minor'!D196</f>
        <v>0</v>
      </c>
      <c r="E36" s="63">
        <f>'Office Minor'!E196</f>
        <v>753626.3125</v>
      </c>
      <c r="F36" s="63">
        <f>'Office Minor'!F196</f>
        <v>158261525.625</v>
      </c>
      <c r="G36" s="63">
        <f>'Office Minor'!G196</f>
        <v>24116042</v>
      </c>
      <c r="H36" s="63">
        <f>'Office Minor'!H196</f>
        <v>250</v>
      </c>
      <c r="K36" s="432">
        <f t="shared" si="0"/>
        <v>210</v>
      </c>
    </row>
    <row r="37" spans="1:11" s="432" customFormat="1" ht="17.100000000000001" customHeight="1" x14ac:dyDescent="0.25">
      <c r="A37" s="166">
        <v>8</v>
      </c>
      <c r="B37" s="433" t="s">
        <v>104</v>
      </c>
      <c r="C37" s="137">
        <f>'Office Minor'!C251</f>
        <v>0</v>
      </c>
      <c r="D37" s="137">
        <f>'Office Minor'!D251</f>
        <v>0</v>
      </c>
      <c r="E37" s="137">
        <f>'Office Minor'!E251</f>
        <v>89880</v>
      </c>
      <c r="F37" s="137">
        <f>'Office Minor'!F251</f>
        <v>17976000</v>
      </c>
      <c r="G37" s="137">
        <f>'Office Minor'!G251</f>
        <v>3866038</v>
      </c>
      <c r="H37" s="137">
        <f>'Office Minor'!H251</f>
        <v>40</v>
      </c>
      <c r="K37" s="432">
        <f t="shared" si="0"/>
        <v>200</v>
      </c>
    </row>
    <row r="38" spans="1:11" s="432" customFormat="1" ht="17.100000000000001" customHeight="1" x14ac:dyDescent="0.25">
      <c r="A38" s="166">
        <v>9</v>
      </c>
      <c r="B38" s="433" t="s">
        <v>377</v>
      </c>
      <c r="C38" s="137">
        <f>'Office Minor'!C234</f>
        <v>4</v>
      </c>
      <c r="D38" s="137">
        <f>'Office Minor'!D234</f>
        <v>3.01</v>
      </c>
      <c r="E38" s="137">
        <f>'Office Minor'!E234</f>
        <v>358070</v>
      </c>
      <c r="F38" s="137">
        <f>'Office Minor'!F234</f>
        <v>89517500</v>
      </c>
      <c r="G38" s="137">
        <f>'Office Minor'!G234</f>
        <v>13337595</v>
      </c>
      <c r="H38" s="137">
        <f>'Office Minor'!H234</f>
        <v>150</v>
      </c>
      <c r="K38" s="432">
        <f t="shared" si="0"/>
        <v>250</v>
      </c>
    </row>
    <row r="39" spans="1:11" s="432" customFormat="1" ht="17.100000000000001" customHeight="1" x14ac:dyDescent="0.25">
      <c r="A39" s="166">
        <v>10</v>
      </c>
      <c r="B39" s="433" t="s">
        <v>110</v>
      </c>
      <c r="C39" s="137">
        <f>'Office Minor'!C273</f>
        <v>0</v>
      </c>
      <c r="D39" s="137">
        <f>'Office Minor'!D273</f>
        <v>0</v>
      </c>
      <c r="E39" s="137">
        <f>'Office Minor'!E273</f>
        <v>227640</v>
      </c>
      <c r="F39" s="137">
        <f>'Office Minor'!F273</f>
        <v>50080800</v>
      </c>
      <c r="G39" s="137">
        <f>'Office Minor'!G273</f>
        <v>7284480</v>
      </c>
      <c r="H39" s="137">
        <f>'Office Minor'!H273</f>
        <v>150</v>
      </c>
      <c r="K39" s="432">
        <f t="shared" si="0"/>
        <v>220</v>
      </c>
    </row>
    <row r="40" spans="1:11" s="432" customFormat="1" ht="17.100000000000001" customHeight="1" x14ac:dyDescent="0.25">
      <c r="A40" s="166">
        <v>11</v>
      </c>
      <c r="B40" s="191" t="s">
        <v>134</v>
      </c>
      <c r="C40" s="204">
        <f>'Office Minor'!C292</f>
        <v>0</v>
      </c>
      <c r="D40" s="204">
        <f>'Office Minor'!D292</f>
        <v>0</v>
      </c>
      <c r="E40" s="204">
        <f>'Office Minor'!E292</f>
        <v>819000</v>
      </c>
      <c r="F40" s="204">
        <f>'Office Minor'!F292</f>
        <v>188370000</v>
      </c>
      <c r="G40" s="204">
        <f>'Office Minor'!G292</f>
        <v>23247431</v>
      </c>
      <c r="H40" s="204">
        <f>'Office Minor'!H292</f>
        <v>625</v>
      </c>
      <c r="K40" s="432">
        <f t="shared" si="0"/>
        <v>230</v>
      </c>
    </row>
    <row r="41" spans="1:11" s="432" customFormat="1" ht="17.100000000000001" customHeight="1" x14ac:dyDescent="0.25">
      <c r="A41" s="166">
        <v>12</v>
      </c>
      <c r="B41" s="191" t="s">
        <v>153</v>
      </c>
      <c r="C41" s="204">
        <f>'Office Minor'!C305</f>
        <v>0</v>
      </c>
      <c r="D41" s="204">
        <f>'Office Minor'!D305</f>
        <v>0</v>
      </c>
      <c r="E41" s="204">
        <f>'Office Minor'!E305</f>
        <v>57645</v>
      </c>
      <c r="F41" s="204">
        <f>'Office Minor'!F305</f>
        <v>11529000</v>
      </c>
      <c r="G41" s="204">
        <f>'Office Minor'!G305</f>
        <v>1844640</v>
      </c>
      <c r="H41" s="204">
        <f>'Office Minor'!H305</f>
        <v>80</v>
      </c>
      <c r="K41" s="432">
        <f t="shared" si="0"/>
        <v>200</v>
      </c>
    </row>
    <row r="42" spans="1:11" s="432" customFormat="1" ht="17.100000000000001" customHeight="1" x14ac:dyDescent="0.25">
      <c r="A42" s="166">
        <v>13</v>
      </c>
      <c r="B42" s="433" t="s">
        <v>117</v>
      </c>
      <c r="C42" s="166">
        <f>'Office Minor'!C330</f>
        <v>0</v>
      </c>
      <c r="D42" s="166">
        <f>'Office Minor'!D330</f>
        <v>0</v>
      </c>
      <c r="E42" s="166">
        <f>'Office Minor'!E330</f>
        <v>4317960</v>
      </c>
      <c r="F42" s="166">
        <f>'Office Minor'!F330</f>
        <v>949951200</v>
      </c>
      <c r="G42" s="166">
        <f>'Office Minor'!G330</f>
        <v>144986151</v>
      </c>
      <c r="H42" s="166">
        <f>'Office Minor'!H330</f>
        <v>3500</v>
      </c>
      <c r="K42" s="432">
        <f t="shared" si="0"/>
        <v>220</v>
      </c>
    </row>
    <row r="43" spans="1:11" s="432" customFormat="1" ht="17.100000000000001" customHeight="1" x14ac:dyDescent="0.25">
      <c r="A43" s="166">
        <v>14</v>
      </c>
      <c r="B43" s="433" t="s">
        <v>84</v>
      </c>
      <c r="C43" s="166">
        <f>'Office Minor'!C417</f>
        <v>0</v>
      </c>
      <c r="D43" s="166">
        <f>'Office Minor'!D417</f>
        <v>0</v>
      </c>
      <c r="E43" s="166">
        <f>'Office Minor'!E417</f>
        <v>707468</v>
      </c>
      <c r="F43" s="166">
        <f>'Office Minor'!F417</f>
        <v>176867187</v>
      </c>
      <c r="G43" s="166">
        <f>'Office Minor'!G417</f>
        <v>22639000</v>
      </c>
      <c r="H43" s="166">
        <f>'Office Minor'!H417</f>
        <v>250</v>
      </c>
      <c r="K43" s="432">
        <f t="shared" si="0"/>
        <v>250.00026432290932</v>
      </c>
    </row>
    <row r="44" spans="1:11" s="432" customFormat="1" ht="17.100000000000001" customHeight="1" x14ac:dyDescent="0.25">
      <c r="A44" s="166">
        <v>15</v>
      </c>
      <c r="B44" s="433" t="s">
        <v>154</v>
      </c>
      <c r="C44" s="166">
        <f>'Office Minor'!C350</f>
        <v>9</v>
      </c>
      <c r="D44" s="166">
        <f>'Office Minor'!D350</f>
        <v>28</v>
      </c>
      <c r="E44" s="166">
        <f>'Office Minor'!E350</f>
        <v>0</v>
      </c>
      <c r="F44" s="166">
        <f>'Office Minor'!F350</f>
        <v>0</v>
      </c>
      <c r="G44" s="166">
        <f>'Office Minor'!G350</f>
        <v>0</v>
      </c>
      <c r="H44" s="166">
        <f>'Office Minor'!H350</f>
        <v>0</v>
      </c>
      <c r="K44" s="432" t="e">
        <f t="shared" si="0"/>
        <v>#DIV/0!</v>
      </c>
    </row>
    <row r="45" spans="1:11" s="432" customFormat="1" ht="17.100000000000001" customHeight="1" x14ac:dyDescent="0.25">
      <c r="A45" s="166">
        <v>16</v>
      </c>
      <c r="B45" s="433" t="s">
        <v>87</v>
      </c>
      <c r="C45" s="137">
        <f>'Office Minor'!C365</f>
        <v>0</v>
      </c>
      <c r="D45" s="137">
        <f>'Office Minor'!D365</f>
        <v>0</v>
      </c>
      <c r="E45" s="137">
        <f>'Office Minor'!E365</f>
        <v>188766</v>
      </c>
      <c r="F45" s="137">
        <f>'Office Minor'!F365</f>
        <v>41528527</v>
      </c>
      <c r="G45" s="137">
        <f>'Office Minor'!G365</f>
        <v>37079042</v>
      </c>
      <c r="H45" s="137">
        <f>'Office Minor'!H365</f>
        <v>4800</v>
      </c>
      <c r="K45" s="432">
        <f t="shared" si="0"/>
        <v>220.00003708294926</v>
      </c>
    </row>
    <row r="46" spans="1:11" s="432" customFormat="1" ht="17.100000000000001" customHeight="1" x14ac:dyDescent="0.25">
      <c r="A46" s="166">
        <v>17</v>
      </c>
      <c r="B46" s="433" t="s">
        <v>136</v>
      </c>
      <c r="C46" s="137">
        <f>'Office Minor'!C453</f>
        <v>15</v>
      </c>
      <c r="D46" s="137">
        <f>'Office Minor'!D453</f>
        <v>35</v>
      </c>
      <c r="E46" s="137">
        <f>'Office Minor'!E453</f>
        <v>0</v>
      </c>
      <c r="F46" s="137">
        <f>'Office Minor'!F453</f>
        <v>0</v>
      </c>
      <c r="G46" s="137">
        <f>'Office Minor'!G453</f>
        <v>0</v>
      </c>
      <c r="H46" s="137">
        <f>'Office Minor'!H453</f>
        <v>0</v>
      </c>
      <c r="K46" s="432" t="e">
        <f t="shared" si="0"/>
        <v>#DIV/0!</v>
      </c>
    </row>
    <row r="47" spans="1:11" s="432" customFormat="1" ht="17.100000000000001" customHeight="1" x14ac:dyDescent="0.25">
      <c r="A47" s="166">
        <v>18</v>
      </c>
      <c r="B47" s="433" t="s">
        <v>88</v>
      </c>
      <c r="C47" s="166">
        <f>'Office Minor'!C482</f>
        <v>0</v>
      </c>
      <c r="D47" s="166">
        <f>'Office Minor'!D482</f>
        <v>0</v>
      </c>
      <c r="E47" s="166">
        <f>'Office Minor'!E482</f>
        <v>845968</v>
      </c>
      <c r="F47" s="166">
        <f>'Office Minor'!F482</f>
        <v>169193600</v>
      </c>
      <c r="G47" s="166">
        <f>'Office Minor'!G482</f>
        <v>21149200</v>
      </c>
      <c r="H47" s="166">
        <f>'Office Minor'!H482</f>
        <v>50</v>
      </c>
      <c r="K47" s="432">
        <f t="shared" si="0"/>
        <v>200</v>
      </c>
    </row>
    <row r="48" spans="1:11" s="432" customFormat="1" ht="17.100000000000001" customHeight="1" x14ac:dyDescent="0.25">
      <c r="A48" s="166">
        <v>19</v>
      </c>
      <c r="B48" s="433" t="s">
        <v>89</v>
      </c>
      <c r="C48" s="166">
        <f>'Office Minor'!C534</f>
        <v>0</v>
      </c>
      <c r="D48" s="166">
        <f>'Office Minor'!D534</f>
        <v>0</v>
      </c>
      <c r="E48" s="166">
        <f>'Office Minor'!E534</f>
        <v>0</v>
      </c>
      <c r="F48" s="166">
        <f>'Office Minor'!F534</f>
        <v>0</v>
      </c>
      <c r="G48" s="137">
        <f>'Office Minor'!G534</f>
        <v>0</v>
      </c>
      <c r="H48" s="166">
        <f>'Office Minor'!H534</f>
        <v>0</v>
      </c>
      <c r="K48" s="432" t="e">
        <f t="shared" si="0"/>
        <v>#DIV/0!</v>
      </c>
    </row>
    <row r="49" spans="1:11" s="432" customFormat="1" ht="17.100000000000001" customHeight="1" x14ac:dyDescent="0.25">
      <c r="A49" s="166">
        <v>20</v>
      </c>
      <c r="B49" s="214" t="s">
        <v>376</v>
      </c>
      <c r="C49" s="166">
        <f>'Office Minor'!C695</f>
        <v>10</v>
      </c>
      <c r="D49" s="166">
        <f>'Office Minor'!D695</f>
        <v>50</v>
      </c>
      <c r="E49" s="166">
        <f>'Office Minor'!E695</f>
        <v>87428.5</v>
      </c>
      <c r="F49" s="166">
        <f>'Office Minor'!F695</f>
        <v>18360090</v>
      </c>
      <c r="G49" s="166">
        <f>'Office Minor'!G695</f>
        <v>1000291</v>
      </c>
      <c r="H49" s="166">
        <f>'Office Minor'!H695</f>
        <v>50</v>
      </c>
      <c r="K49" s="432">
        <f t="shared" si="0"/>
        <v>210.00120098137336</v>
      </c>
    </row>
    <row r="50" spans="1:11" s="432" customFormat="1" ht="17.100000000000001" customHeight="1" x14ac:dyDescent="0.25">
      <c r="A50" s="166">
        <v>21</v>
      </c>
      <c r="B50" s="433" t="s">
        <v>100</v>
      </c>
      <c r="C50" s="166">
        <f>'Office Minor'!C714</f>
        <v>0</v>
      </c>
      <c r="D50" s="166">
        <f>'Office Minor'!D714</f>
        <v>0</v>
      </c>
      <c r="E50" s="166">
        <f>'Office Minor'!E714</f>
        <v>772647.83870967745</v>
      </c>
      <c r="F50" s="166">
        <f>'Office Minor'!F714</f>
        <v>162256046.12903225</v>
      </c>
      <c r="G50" s="166">
        <f>'Office Minor'!G714</f>
        <v>23952083</v>
      </c>
      <c r="H50" s="166">
        <f>'Office Minor'!H714</f>
        <v>250</v>
      </c>
      <c r="K50" s="432">
        <f t="shared" si="0"/>
        <v>210</v>
      </c>
    </row>
    <row r="51" spans="1:11" s="432" customFormat="1" ht="17.100000000000001" customHeight="1" x14ac:dyDescent="0.25">
      <c r="A51" s="166">
        <v>22</v>
      </c>
      <c r="B51" s="433" t="s">
        <v>209</v>
      </c>
      <c r="C51" s="213">
        <f>'Office Minor'!C766</f>
        <v>0</v>
      </c>
      <c r="D51" s="213">
        <f>'Office Minor'!D766</f>
        <v>0</v>
      </c>
      <c r="E51" s="213">
        <f>'Office Minor'!E766</f>
        <v>3622500</v>
      </c>
      <c r="F51" s="213">
        <f>'Office Minor'!F766</f>
        <v>905625000</v>
      </c>
      <c r="G51" s="213">
        <f>'Office Minor'!G766</f>
        <v>143446433</v>
      </c>
      <c r="H51" s="213">
        <f>'Office Minor'!H766</f>
        <v>240</v>
      </c>
      <c r="K51" s="432">
        <f t="shared" si="0"/>
        <v>250</v>
      </c>
    </row>
    <row r="52" spans="1:11" s="432" customFormat="1" ht="17.100000000000001" customHeight="1" x14ac:dyDescent="0.25">
      <c r="A52" s="166">
        <v>23</v>
      </c>
      <c r="B52" s="433" t="s">
        <v>474</v>
      </c>
      <c r="C52" s="213">
        <f>'Office Minor'!C676</f>
        <v>0</v>
      </c>
      <c r="D52" s="213">
        <f>'Office Minor'!D676</f>
        <v>0</v>
      </c>
      <c r="E52" s="213">
        <f>'Office Minor'!E676</f>
        <v>11890</v>
      </c>
      <c r="F52" s="213">
        <f>'Office Minor'!F676</f>
        <v>2496900</v>
      </c>
      <c r="G52" s="213">
        <f>'Office Minor'!G676</f>
        <v>380480</v>
      </c>
      <c r="H52" s="213">
        <f>'Office Minor'!H676</f>
        <v>10</v>
      </c>
      <c r="K52" s="432">
        <f t="shared" si="0"/>
        <v>210</v>
      </c>
    </row>
    <row r="53" spans="1:11" s="432" customFormat="1" ht="17.100000000000001" customHeight="1" x14ac:dyDescent="0.25">
      <c r="A53" s="166">
        <v>24</v>
      </c>
      <c r="B53" s="433" t="s">
        <v>389</v>
      </c>
      <c r="C53" s="213">
        <f>'Office Minor'!C647</f>
        <v>0</v>
      </c>
      <c r="D53" s="213">
        <f>'Office Minor'!D647</f>
        <v>0</v>
      </c>
      <c r="E53" s="213">
        <f>'Office Minor'!E647</f>
        <v>0</v>
      </c>
      <c r="F53" s="213">
        <f>'Office Minor'!F647</f>
        <v>0</v>
      </c>
      <c r="G53" s="213">
        <f>'Office Minor'!G647</f>
        <v>0</v>
      </c>
      <c r="H53" s="213">
        <f>'Office Minor'!H647</f>
        <v>0</v>
      </c>
      <c r="K53" s="432" t="e">
        <f t="shared" si="0"/>
        <v>#DIV/0!</v>
      </c>
    </row>
    <row r="54" spans="1:11" s="432" customFormat="1" ht="17.100000000000001" customHeight="1" x14ac:dyDescent="0.25">
      <c r="A54" s="166">
        <v>25</v>
      </c>
      <c r="B54" s="433" t="s">
        <v>83</v>
      </c>
      <c r="C54" s="213">
        <f>'Office Minor'!C799</f>
        <v>0</v>
      </c>
      <c r="D54" s="213">
        <f>'Office Minor'!D799</f>
        <v>0</v>
      </c>
      <c r="E54" s="213">
        <f>'Office Minor'!E799</f>
        <v>0</v>
      </c>
      <c r="F54" s="213">
        <f>'Office Minor'!F799</f>
        <v>0</v>
      </c>
      <c r="G54" s="213">
        <f>'Office Minor'!G799</f>
        <v>0</v>
      </c>
      <c r="H54" s="213">
        <f>'Office Minor'!H799</f>
        <v>0</v>
      </c>
      <c r="K54" s="432" t="e">
        <f t="shared" si="0"/>
        <v>#DIV/0!</v>
      </c>
    </row>
    <row r="55" spans="1:11" s="432" customFormat="1" ht="17.100000000000001" customHeight="1" x14ac:dyDescent="0.25">
      <c r="A55" s="166">
        <v>26</v>
      </c>
      <c r="B55" s="433" t="s">
        <v>116</v>
      </c>
      <c r="C55" s="236">
        <f>'Office Minor'!C777</f>
        <v>0</v>
      </c>
      <c r="D55" s="236">
        <f>'Office Minor'!D777</f>
        <v>0</v>
      </c>
      <c r="E55" s="236">
        <f>'Office Minor'!E777</f>
        <v>0</v>
      </c>
      <c r="F55" s="236">
        <f>'Office Minor'!F777</f>
        <v>0</v>
      </c>
      <c r="G55" s="236">
        <f>'Office Minor'!G777</f>
        <v>0</v>
      </c>
      <c r="H55" s="236">
        <f>'Office Minor'!H777</f>
        <v>0</v>
      </c>
      <c r="K55" s="432" t="e">
        <f t="shared" si="0"/>
        <v>#DIV/0!</v>
      </c>
    </row>
    <row r="56" spans="1:11" s="432" customFormat="1" ht="17.100000000000001" customHeight="1" x14ac:dyDescent="0.25">
      <c r="A56" s="1136" t="s">
        <v>50</v>
      </c>
      <c r="B56" s="1137"/>
      <c r="C56" s="258">
        <f t="shared" ref="C56:H56" si="4">SUM(C31:C55)</f>
        <v>38</v>
      </c>
      <c r="D56" s="429">
        <f t="shared" si="4"/>
        <v>511.61</v>
      </c>
      <c r="E56" s="430">
        <f t="shared" si="4"/>
        <v>14222085.671209676</v>
      </c>
      <c r="F56" s="430">
        <f t="shared" si="4"/>
        <v>3241270499.7540321</v>
      </c>
      <c r="G56" s="430">
        <f t="shared" si="4"/>
        <v>499365868</v>
      </c>
      <c r="H56" s="430">
        <f t="shared" si="4"/>
        <v>16544</v>
      </c>
      <c r="K56" s="432">
        <f t="shared" si="0"/>
        <v>227.90402017584964</v>
      </c>
    </row>
    <row r="57" spans="1:11" s="432" customFormat="1" ht="17.100000000000001" customHeight="1" x14ac:dyDescent="0.25">
      <c r="A57" s="352"/>
      <c r="B57" s="352"/>
      <c r="C57" s="352"/>
      <c r="D57" s="352"/>
      <c r="E57" s="352"/>
      <c r="F57" s="352"/>
      <c r="G57" s="352"/>
      <c r="H57" s="352"/>
      <c r="K57" s="432" t="e">
        <f t="shared" si="0"/>
        <v>#DIV/0!</v>
      </c>
    </row>
    <row r="58" spans="1:11" s="432" customFormat="1" ht="17.100000000000001" customHeight="1" x14ac:dyDescent="0.25">
      <c r="A58" s="1138" t="s">
        <v>25</v>
      </c>
      <c r="B58" s="1138"/>
      <c r="C58" s="1138"/>
      <c r="D58" s="1138"/>
      <c r="E58" s="1138"/>
      <c r="F58" s="1138"/>
      <c r="G58" s="1138"/>
      <c r="H58" s="1138"/>
      <c r="K58" s="432" t="e">
        <f t="shared" si="0"/>
        <v>#DIV/0!</v>
      </c>
    </row>
    <row r="59" spans="1:11" s="432" customFormat="1" ht="17.100000000000001" customHeight="1" x14ac:dyDescent="0.25">
      <c r="A59" s="1122" t="s">
        <v>2</v>
      </c>
      <c r="B59" s="1124" t="s">
        <v>77</v>
      </c>
      <c r="C59" s="249" t="s">
        <v>4</v>
      </c>
      <c r="D59" s="249" t="s">
        <v>5</v>
      </c>
      <c r="E59" s="249" t="s">
        <v>6</v>
      </c>
      <c r="F59" s="249" t="s">
        <v>7</v>
      </c>
      <c r="G59" s="249" t="s">
        <v>8</v>
      </c>
      <c r="H59" s="249" t="s">
        <v>9</v>
      </c>
      <c r="K59" s="432" t="e">
        <f t="shared" si="0"/>
        <v>#VALUE!</v>
      </c>
    </row>
    <row r="60" spans="1:11" s="432" customFormat="1" ht="17.100000000000001" customHeight="1" x14ac:dyDescent="0.25">
      <c r="A60" s="1123"/>
      <c r="B60" s="1125"/>
      <c r="C60" s="2" t="s">
        <v>10</v>
      </c>
      <c r="D60" s="2" t="s">
        <v>78</v>
      </c>
      <c r="E60" s="2" t="s">
        <v>79</v>
      </c>
      <c r="F60" s="52" t="s">
        <v>80</v>
      </c>
      <c r="G60" s="52" t="s">
        <v>80</v>
      </c>
      <c r="H60" s="2" t="s">
        <v>13</v>
      </c>
      <c r="K60" s="432" t="e">
        <f t="shared" si="0"/>
        <v>#VALUE!</v>
      </c>
    </row>
    <row r="61" spans="1:11" s="432" customFormat="1" ht="17.100000000000001" customHeight="1" x14ac:dyDescent="0.25">
      <c r="A61" s="166">
        <v>1</v>
      </c>
      <c r="B61" s="214" t="s">
        <v>81</v>
      </c>
      <c r="C61" s="166">
        <f>'Office Minor'!C179</f>
        <v>8</v>
      </c>
      <c r="D61" s="166">
        <f>'Office Minor'!D179</f>
        <v>85.91</v>
      </c>
      <c r="E61" s="166">
        <f>'Office Minor'!E179</f>
        <v>10011.739622641509</v>
      </c>
      <c r="F61" s="166">
        <f>'Office Minor'!F179</f>
        <v>8509978.6792452838</v>
      </c>
      <c r="G61" s="166">
        <f>'Office Minor'!G179</f>
        <v>2653111</v>
      </c>
      <c r="H61" s="166">
        <f>'Office Minor'!H179</f>
        <v>50</v>
      </c>
      <c r="K61" s="432">
        <f t="shared" si="0"/>
        <v>850.00000000000011</v>
      </c>
    </row>
    <row r="62" spans="1:11" s="432" customFormat="1" ht="17.100000000000001" customHeight="1" x14ac:dyDescent="0.25">
      <c r="A62" s="166">
        <v>2</v>
      </c>
      <c r="B62" s="194" t="s">
        <v>84</v>
      </c>
      <c r="C62" s="213">
        <f>'Office Minor'!C419</f>
        <v>4</v>
      </c>
      <c r="D62" s="213">
        <f>'Office Minor'!D419</f>
        <v>19.887499999999999</v>
      </c>
      <c r="E62" s="213">
        <f>'Office Minor'!E419</f>
        <v>2186</v>
      </c>
      <c r="F62" s="213">
        <f>'Office Minor'!F419</f>
        <v>1858100</v>
      </c>
      <c r="G62" s="213">
        <f>'Office Minor'!G419</f>
        <v>4353000</v>
      </c>
      <c r="H62" s="213">
        <f>'Office Minor'!H419</f>
        <v>11</v>
      </c>
      <c r="K62" s="432">
        <f t="shared" si="0"/>
        <v>850</v>
      </c>
    </row>
    <row r="63" spans="1:11" s="432" customFormat="1" ht="17.100000000000001" customHeight="1" x14ac:dyDescent="0.25">
      <c r="A63" s="166">
        <v>3</v>
      </c>
      <c r="B63" s="435" t="s">
        <v>88</v>
      </c>
      <c r="C63" s="290">
        <f>'Office Minor'!C491</f>
        <v>0</v>
      </c>
      <c r="D63" s="290">
        <f>'Office Minor'!D491</f>
        <v>0</v>
      </c>
      <c r="E63" s="290">
        <f>'Office Minor'!E491</f>
        <v>0</v>
      </c>
      <c r="F63" s="290">
        <f>'Office Minor'!F491</f>
        <v>0</v>
      </c>
      <c r="G63" s="290">
        <f>'Office Minor'!G491</f>
        <v>0</v>
      </c>
      <c r="H63" s="290">
        <f>'Office Minor'!H491</f>
        <v>0</v>
      </c>
      <c r="K63" s="432" t="e">
        <f t="shared" si="0"/>
        <v>#DIV/0!</v>
      </c>
    </row>
    <row r="64" spans="1:11" s="432" customFormat="1" ht="17.100000000000001" customHeight="1" x14ac:dyDescent="0.25">
      <c r="A64" s="166">
        <v>4</v>
      </c>
      <c r="B64" s="214" t="s">
        <v>89</v>
      </c>
      <c r="C64" s="145">
        <f>'Office Minor'!C536</f>
        <v>3</v>
      </c>
      <c r="D64" s="145">
        <f>'Office Minor'!D536</f>
        <v>68.67</v>
      </c>
      <c r="E64" s="145">
        <f>'Office Minor'!E536</f>
        <v>4263</v>
      </c>
      <c r="F64" s="145">
        <f>'Office Minor'!F536</f>
        <v>3623823</v>
      </c>
      <c r="G64" s="145">
        <f>'Office Minor'!G536</f>
        <v>3235557</v>
      </c>
      <c r="H64" s="145">
        <f>'Office Minor'!H536</f>
        <v>10</v>
      </c>
      <c r="K64" s="432">
        <f t="shared" si="0"/>
        <v>850.06403940886696</v>
      </c>
    </row>
    <row r="65" spans="1:11" s="432" customFormat="1" ht="17.100000000000001" customHeight="1" x14ac:dyDescent="0.25">
      <c r="A65" s="166">
        <v>5</v>
      </c>
      <c r="B65" s="214" t="s">
        <v>98</v>
      </c>
      <c r="C65" s="196">
        <f>'Office Minor'!C586</f>
        <v>0</v>
      </c>
      <c r="D65" s="196">
        <f>'Office Minor'!D586</f>
        <v>0</v>
      </c>
      <c r="E65" s="196">
        <f>'Office Minor'!E586</f>
        <v>0</v>
      </c>
      <c r="F65" s="196">
        <f>'Office Minor'!F586</f>
        <v>0</v>
      </c>
      <c r="G65" s="196">
        <f>'Office Minor'!G586</f>
        <v>0</v>
      </c>
      <c r="H65" s="196">
        <f>'Office Minor'!H586</f>
        <v>0</v>
      </c>
      <c r="K65" s="432" t="e">
        <f t="shared" si="0"/>
        <v>#DIV/0!</v>
      </c>
    </row>
    <row r="66" spans="1:11" s="432" customFormat="1" ht="17.100000000000001" customHeight="1" x14ac:dyDescent="0.25">
      <c r="A66" s="166">
        <v>6</v>
      </c>
      <c r="B66" s="214" t="s">
        <v>403</v>
      </c>
      <c r="C66" s="196">
        <f>'Office Minor'!C574</f>
        <v>0</v>
      </c>
      <c r="D66" s="196">
        <f>'Office Minor'!D574</f>
        <v>0</v>
      </c>
      <c r="E66" s="196">
        <f>'Office Minor'!E574</f>
        <v>0</v>
      </c>
      <c r="F66" s="196">
        <f>'Office Minor'!F574</f>
        <v>0</v>
      </c>
      <c r="G66" s="196">
        <f>'Office Minor'!G574</f>
        <v>0</v>
      </c>
      <c r="H66" s="196">
        <f>'Office Minor'!H574</f>
        <v>0</v>
      </c>
      <c r="K66" s="432" t="e">
        <f t="shared" si="0"/>
        <v>#DIV/0!</v>
      </c>
    </row>
    <row r="67" spans="1:11" s="432" customFormat="1" ht="17.100000000000001" customHeight="1" x14ac:dyDescent="0.25">
      <c r="A67" s="166">
        <v>7</v>
      </c>
      <c r="B67" s="214" t="s">
        <v>100</v>
      </c>
      <c r="C67" s="145">
        <f>'Office Minor'!C716</f>
        <v>3</v>
      </c>
      <c r="D67" s="145">
        <f>'Office Minor'!D716</f>
        <v>28.84</v>
      </c>
      <c r="E67" s="145">
        <f>'Office Minor'!E716</f>
        <v>0</v>
      </c>
      <c r="F67" s="145">
        <f>'Office Minor'!F716</f>
        <v>0</v>
      </c>
      <c r="G67" s="145">
        <f>'Office Minor'!G716</f>
        <v>0</v>
      </c>
      <c r="H67" s="145">
        <f>'Office Minor'!H716</f>
        <v>0</v>
      </c>
      <c r="K67" s="432" t="e">
        <f t="shared" si="0"/>
        <v>#DIV/0!</v>
      </c>
    </row>
    <row r="68" spans="1:11" s="432" customFormat="1" ht="17.100000000000001" customHeight="1" x14ac:dyDescent="0.25">
      <c r="A68" s="166">
        <v>8</v>
      </c>
      <c r="B68" s="214" t="s">
        <v>91</v>
      </c>
      <c r="C68" s="204">
        <f>'Office Minor'!C736</f>
        <v>6</v>
      </c>
      <c r="D68" s="204">
        <f>'Office Minor'!D736</f>
        <v>196.45</v>
      </c>
      <c r="E68" s="204">
        <f>'Office Minor'!E736</f>
        <v>8086</v>
      </c>
      <c r="F68" s="204">
        <f>'Office Minor'!F736</f>
        <v>6873092</v>
      </c>
      <c r="G68" s="204">
        <f>'Office Minor'!G736</f>
        <v>2614327</v>
      </c>
      <c r="H68" s="204">
        <f>'Office Minor'!H736</f>
        <v>150</v>
      </c>
      <c r="K68" s="432">
        <f t="shared" si="0"/>
        <v>849.99901063566654</v>
      </c>
    </row>
    <row r="69" spans="1:11" s="432" customFormat="1" ht="17.100000000000001" customHeight="1" x14ac:dyDescent="0.25">
      <c r="A69" s="166">
        <v>9</v>
      </c>
      <c r="B69" s="214" t="s">
        <v>83</v>
      </c>
      <c r="C69" s="166">
        <f>'Office Minor'!C806</f>
        <v>12</v>
      </c>
      <c r="D69" s="166">
        <f>'Office Minor'!D806</f>
        <v>130.97</v>
      </c>
      <c r="E69" s="166">
        <f>'Office Minor'!E806</f>
        <v>69971</v>
      </c>
      <c r="F69" s="166">
        <f>'Office Minor'!F806</f>
        <v>59475884.636401966</v>
      </c>
      <c r="G69" s="166">
        <f>'Office Minor'!G806</f>
        <v>7615607</v>
      </c>
      <c r="H69" s="166">
        <f>'Office Minor'!H806</f>
        <v>43</v>
      </c>
      <c r="K69" s="432">
        <f t="shared" si="0"/>
        <v>850.00764082837122</v>
      </c>
    </row>
    <row r="70" spans="1:11" s="432" customFormat="1" ht="17.100000000000001" customHeight="1" x14ac:dyDescent="0.25">
      <c r="A70" s="1136" t="s">
        <v>50</v>
      </c>
      <c r="B70" s="1137"/>
      <c r="C70" s="259">
        <f>SUM(C61:C69)</f>
        <v>36</v>
      </c>
      <c r="D70" s="260">
        <f t="shared" ref="D70:H70" si="5">SUM(D61:D69)</f>
        <v>530.72749999999996</v>
      </c>
      <c r="E70" s="260">
        <f t="shared" si="5"/>
        <v>94517.7396226415</v>
      </c>
      <c r="F70" s="261">
        <f t="shared" si="5"/>
        <v>80340878.315647244</v>
      </c>
      <c r="G70" s="261">
        <f>SUM(G61:G69)</f>
        <v>20471602</v>
      </c>
      <c r="H70" s="259">
        <f t="shared" si="5"/>
        <v>264</v>
      </c>
      <c r="K70" s="432">
        <f t="shared" si="0"/>
        <v>850.00846017271635</v>
      </c>
    </row>
    <row r="71" spans="1:11" s="432" customFormat="1" ht="17.100000000000001" customHeight="1" x14ac:dyDescent="0.25">
      <c r="A71" s="412"/>
      <c r="B71" s="413"/>
      <c r="C71" s="436"/>
      <c r="D71" s="437"/>
      <c r="E71" s="438"/>
      <c r="F71" s="438"/>
      <c r="G71" s="438"/>
      <c r="H71" s="436"/>
      <c r="K71" s="432" t="e">
        <f t="shared" si="0"/>
        <v>#DIV/0!</v>
      </c>
    </row>
    <row r="72" spans="1:11" s="432" customFormat="1" ht="17.100000000000001" customHeight="1" x14ac:dyDescent="0.25">
      <c r="A72" s="1138" t="s">
        <v>431</v>
      </c>
      <c r="B72" s="1138"/>
      <c r="C72" s="1138"/>
      <c r="D72" s="1138"/>
      <c r="E72" s="1138"/>
      <c r="F72" s="1138"/>
      <c r="G72" s="1138"/>
      <c r="H72" s="1138"/>
      <c r="K72" s="432" t="e">
        <f t="shared" ref="K72:K135" si="6">F72/E72</f>
        <v>#DIV/0!</v>
      </c>
    </row>
    <row r="73" spans="1:11" s="432" customFormat="1" ht="17.100000000000001" customHeight="1" x14ac:dyDescent="0.25">
      <c r="A73" s="1122" t="s">
        <v>2</v>
      </c>
      <c r="B73" s="1124" t="s">
        <v>77</v>
      </c>
      <c r="C73" s="249" t="s">
        <v>4</v>
      </c>
      <c r="D73" s="249" t="s">
        <v>5</v>
      </c>
      <c r="E73" s="249" t="s">
        <v>6</v>
      </c>
      <c r="F73" s="249" t="s">
        <v>7</v>
      </c>
      <c r="G73" s="249" t="s">
        <v>8</v>
      </c>
      <c r="H73" s="249" t="s">
        <v>9</v>
      </c>
      <c r="K73" s="432" t="e">
        <f t="shared" si="6"/>
        <v>#VALUE!</v>
      </c>
    </row>
    <row r="74" spans="1:11" s="432" customFormat="1" ht="17.100000000000001" customHeight="1" x14ac:dyDescent="0.25">
      <c r="A74" s="1123"/>
      <c r="B74" s="1125"/>
      <c r="C74" s="2" t="s">
        <v>10</v>
      </c>
      <c r="D74" s="2" t="s">
        <v>78</v>
      </c>
      <c r="E74" s="2" t="s">
        <v>79</v>
      </c>
      <c r="F74" s="52" t="s">
        <v>80</v>
      </c>
      <c r="G74" s="52" t="s">
        <v>80</v>
      </c>
      <c r="H74" s="2" t="s">
        <v>13</v>
      </c>
      <c r="K74" s="432" t="e">
        <f t="shared" si="6"/>
        <v>#VALUE!</v>
      </c>
    </row>
    <row r="75" spans="1:11" s="432" customFormat="1" ht="17.100000000000001" customHeight="1" x14ac:dyDescent="0.25">
      <c r="A75" s="166">
        <v>1</v>
      </c>
      <c r="B75" s="214" t="s">
        <v>638</v>
      </c>
      <c r="C75" s="166">
        <f>'Office Minor'!C110</f>
        <v>2</v>
      </c>
      <c r="D75" s="166">
        <f>'Office Minor'!D110</f>
        <v>10</v>
      </c>
      <c r="E75" s="166">
        <f>'Office Minor'!E110</f>
        <v>0</v>
      </c>
      <c r="F75" s="166">
        <f>'Office Minor'!F110</f>
        <v>0</v>
      </c>
      <c r="G75" s="166">
        <f>'Office Minor'!G110</f>
        <v>280705</v>
      </c>
      <c r="H75" s="166">
        <f>'Office Minor'!H110</f>
        <v>2</v>
      </c>
      <c r="K75" s="432" t="e">
        <f t="shared" si="6"/>
        <v>#DIV/0!</v>
      </c>
    </row>
    <row r="76" spans="1:11" s="432" customFormat="1" ht="17.100000000000001" customHeight="1" x14ac:dyDescent="0.25">
      <c r="A76" s="166">
        <v>2</v>
      </c>
      <c r="B76" s="214" t="s">
        <v>639</v>
      </c>
      <c r="C76" s="166">
        <f>'Office Minor'!C223</f>
        <v>4</v>
      </c>
      <c r="D76" s="166">
        <f>'Office Minor'!D223</f>
        <v>74.62</v>
      </c>
      <c r="E76" s="166">
        <f>'Office Minor'!E223</f>
        <v>24418.99</v>
      </c>
      <c r="F76" s="166">
        <f>'Office Minor'!F223</f>
        <v>10744355.600000001</v>
      </c>
      <c r="G76" s="166">
        <f>'Office Minor'!G223</f>
        <v>754734</v>
      </c>
      <c r="H76" s="166">
        <f>'Office Minor'!H223</f>
        <v>25</v>
      </c>
      <c r="K76" s="432">
        <f t="shared" si="6"/>
        <v>440.00000000000006</v>
      </c>
    </row>
    <row r="77" spans="1:11" s="432" customFormat="1" ht="17.100000000000001" customHeight="1" x14ac:dyDescent="0.25">
      <c r="A77" s="166">
        <v>3</v>
      </c>
      <c r="B77" s="214" t="s">
        <v>81</v>
      </c>
      <c r="C77" s="166">
        <f>'Office Minor'!C180</f>
        <v>28</v>
      </c>
      <c r="D77" s="166">
        <f>'Office Minor'!D180</f>
        <v>1129.92</v>
      </c>
      <c r="E77" s="166">
        <f>'Office Minor'!E180</f>
        <v>492968</v>
      </c>
      <c r="F77" s="166">
        <f>'Office Minor'!F180</f>
        <v>215919984</v>
      </c>
      <c r="G77" s="166">
        <f>'Office Minor'!G180</f>
        <v>36821331</v>
      </c>
      <c r="H77" s="166">
        <f>'Office Minor'!H180</f>
        <v>250</v>
      </c>
      <c r="K77" s="432">
        <f t="shared" si="6"/>
        <v>438</v>
      </c>
    </row>
    <row r="78" spans="1:11" s="432" customFormat="1" ht="17.100000000000001" customHeight="1" x14ac:dyDescent="0.25">
      <c r="A78" s="166">
        <v>4</v>
      </c>
      <c r="B78" s="214" t="s">
        <v>102</v>
      </c>
      <c r="C78" s="144">
        <f>'Office Minor'!C145</f>
        <v>5</v>
      </c>
      <c r="D78" s="144">
        <f>'Office Minor'!D145</f>
        <v>19.84</v>
      </c>
      <c r="E78" s="144">
        <f>'Office Minor'!E145</f>
        <v>105440</v>
      </c>
      <c r="F78" s="144">
        <f>'Office Minor'!F145</f>
        <v>52720000</v>
      </c>
      <c r="G78" s="144">
        <f>'Office Minor'!G145</f>
        <v>486049</v>
      </c>
      <c r="H78" s="144">
        <f>'Office Minor'!H145</f>
        <v>30</v>
      </c>
      <c r="K78" s="432">
        <f t="shared" si="6"/>
        <v>500</v>
      </c>
    </row>
    <row r="79" spans="1:11" s="432" customFormat="1" ht="17.100000000000001" customHeight="1" x14ac:dyDescent="0.25">
      <c r="A79" s="166">
        <v>5</v>
      </c>
      <c r="B79" s="214" t="s">
        <v>104</v>
      </c>
      <c r="C79" s="204">
        <f>'Office Minor'!C258</f>
        <v>12</v>
      </c>
      <c r="D79" s="204">
        <f>'Office Minor'!D258</f>
        <v>125.779</v>
      </c>
      <c r="E79" s="204">
        <f>'Office Minor'!E258</f>
        <v>339016</v>
      </c>
      <c r="F79" s="204">
        <f>'Office Minor'!F258</f>
        <v>148489008</v>
      </c>
      <c r="G79" s="204">
        <f>'Office Minor'!G258</f>
        <v>17818682</v>
      </c>
      <c r="H79" s="204">
        <f>'Office Minor'!H258</f>
        <v>0</v>
      </c>
      <c r="K79" s="432">
        <f t="shared" si="6"/>
        <v>438</v>
      </c>
    </row>
    <row r="80" spans="1:11" s="432" customFormat="1" ht="17.100000000000001" customHeight="1" x14ac:dyDescent="0.25">
      <c r="A80" s="166">
        <v>6</v>
      </c>
      <c r="B80" s="214" t="s">
        <v>105</v>
      </c>
      <c r="C80" s="143">
        <f>'Office Minor'!C320</f>
        <v>144</v>
      </c>
      <c r="D80" s="143">
        <f>'Office Minor'!D320</f>
        <v>602.52</v>
      </c>
      <c r="E80" s="143">
        <f>'Office Minor'!E320</f>
        <v>869207</v>
      </c>
      <c r="F80" s="143">
        <f>'Office Minor'!F320</f>
        <v>391143222</v>
      </c>
      <c r="G80" s="143">
        <f>'Office Minor'!G320</f>
        <v>70842083</v>
      </c>
      <c r="H80" s="143">
        <f>'Office Minor'!H320</f>
        <v>792</v>
      </c>
      <c r="K80" s="432">
        <f t="shared" si="6"/>
        <v>450.00008283412353</v>
      </c>
    </row>
    <row r="81" spans="1:11" s="432" customFormat="1" ht="17.100000000000001" customHeight="1" x14ac:dyDescent="0.25">
      <c r="A81" s="166">
        <v>7</v>
      </c>
      <c r="B81" s="214" t="s">
        <v>87</v>
      </c>
      <c r="C81" s="166">
        <f>'Office Minor'!C368</f>
        <v>0</v>
      </c>
      <c r="D81" s="166">
        <f>'Office Minor'!D368</f>
        <v>0</v>
      </c>
      <c r="E81" s="166">
        <f>'Office Minor'!E368</f>
        <v>0</v>
      </c>
      <c r="F81" s="166">
        <f>'Office Minor'!F368</f>
        <v>0</v>
      </c>
      <c r="G81" s="166">
        <f>'Office Minor'!G368</f>
        <v>0</v>
      </c>
      <c r="H81" s="166">
        <f>'Office Minor'!H368</f>
        <v>0</v>
      </c>
      <c r="K81" s="432" t="e">
        <f t="shared" si="6"/>
        <v>#DIV/0!</v>
      </c>
    </row>
    <row r="82" spans="1:11" s="432" customFormat="1" ht="17.100000000000001" customHeight="1" x14ac:dyDescent="0.25">
      <c r="A82" s="166">
        <v>8</v>
      </c>
      <c r="B82" s="214" t="s">
        <v>106</v>
      </c>
      <c r="C82" s="63">
        <f>'Office Minor'!C454</f>
        <v>13</v>
      </c>
      <c r="D82" s="63">
        <f>'Office Minor'!D454</f>
        <v>62</v>
      </c>
      <c r="E82" s="63">
        <f>'Office Minor'!E454</f>
        <v>83442</v>
      </c>
      <c r="F82" s="63">
        <f>'Office Minor'!F454</f>
        <v>25032600</v>
      </c>
      <c r="G82" s="63">
        <f>'Office Minor'!G454</f>
        <v>2275513</v>
      </c>
      <c r="H82" s="63">
        <f>'Office Minor'!H454</f>
        <v>25</v>
      </c>
      <c r="K82" s="432">
        <f t="shared" si="6"/>
        <v>300</v>
      </c>
    </row>
    <row r="83" spans="1:11" s="432" customFormat="1" ht="17.100000000000001" customHeight="1" x14ac:dyDescent="0.25">
      <c r="A83" s="166">
        <v>9</v>
      </c>
      <c r="B83" s="214" t="s">
        <v>88</v>
      </c>
      <c r="C83" s="145">
        <f>'Office Minor'!C486+'Office Minor'!C487</f>
        <v>6</v>
      </c>
      <c r="D83" s="145">
        <f>'Office Minor'!D486+'Office Minor'!D487</f>
        <v>1110.3500000000001</v>
      </c>
      <c r="E83" s="145">
        <f>'Office Minor'!E486+'Office Minor'!E487</f>
        <v>95392</v>
      </c>
      <c r="F83" s="145">
        <f>'Office Minor'!F486+'Office Minor'!F487</f>
        <v>41018818</v>
      </c>
      <c r="G83" s="145">
        <f>'Office Minor'!G486+'Office Minor'!G487</f>
        <v>8281292</v>
      </c>
      <c r="H83" s="145">
        <f>'Office Minor'!H486+'Office Minor'!H487</f>
        <v>20</v>
      </c>
      <c r="K83" s="432">
        <f t="shared" si="6"/>
        <v>430.002704629319</v>
      </c>
    </row>
    <row r="84" spans="1:11" s="432" customFormat="1" ht="17.100000000000001" customHeight="1" x14ac:dyDescent="0.25">
      <c r="A84" s="166">
        <v>10</v>
      </c>
      <c r="B84" s="214" t="s">
        <v>107</v>
      </c>
      <c r="C84" s="197">
        <f>'Office Minor'!C520</f>
        <v>196</v>
      </c>
      <c r="D84" s="197">
        <f>'Office Minor'!D520</f>
        <v>544.41999999999996</v>
      </c>
      <c r="E84" s="197">
        <f>'Office Minor'!E520</f>
        <v>2573379</v>
      </c>
      <c r="F84" s="197">
        <f>'Office Minor'!F520</f>
        <v>1106552970</v>
      </c>
      <c r="G84" s="197">
        <f>'Office Minor'!G520</f>
        <v>149341985</v>
      </c>
      <c r="H84" s="197">
        <f>'Office Minor'!H520</f>
        <v>300</v>
      </c>
      <c r="K84" s="432">
        <f t="shared" si="6"/>
        <v>430</v>
      </c>
    </row>
    <row r="85" spans="1:11" s="432" customFormat="1" ht="17.100000000000001" customHeight="1" x14ac:dyDescent="0.25">
      <c r="A85" s="166">
        <v>11</v>
      </c>
      <c r="B85" s="214" t="s">
        <v>108</v>
      </c>
      <c r="C85" s="143">
        <f>'Office Minor'!C556</f>
        <v>24</v>
      </c>
      <c r="D85" s="143">
        <f>'Office Minor'!D556</f>
        <v>164.04000000000002</v>
      </c>
      <c r="E85" s="143">
        <f>'Office Minor'!E556</f>
        <v>522485</v>
      </c>
      <c r="F85" s="143">
        <f>'Office Minor'!F556</f>
        <v>240343100</v>
      </c>
      <c r="G85" s="143">
        <f>'Office Minor'!G556</f>
        <v>19887761</v>
      </c>
      <c r="H85" s="143">
        <f>'Office Minor'!H556</f>
        <v>1200</v>
      </c>
      <c r="K85" s="432">
        <f t="shared" si="6"/>
        <v>460</v>
      </c>
    </row>
    <row r="86" spans="1:11" s="432" customFormat="1" ht="17.100000000000001" customHeight="1" x14ac:dyDescent="0.25">
      <c r="A86" s="166">
        <v>12</v>
      </c>
      <c r="B86" s="214" t="s">
        <v>95</v>
      </c>
      <c r="C86" s="166">
        <f>'Office Minor'!C754</f>
        <v>39</v>
      </c>
      <c r="D86" s="166">
        <f>'Office Minor'!D754</f>
        <v>750.66</v>
      </c>
      <c r="E86" s="166">
        <f>'Office Minor'!E754</f>
        <v>757459</v>
      </c>
      <c r="F86" s="166">
        <f>'Office Minor'!F754</f>
        <v>340856730</v>
      </c>
      <c r="G86" s="166">
        <f>'Office Minor'!G754</f>
        <v>36232216</v>
      </c>
      <c r="H86" s="166">
        <f>'Office Minor'!H754</f>
        <v>180</v>
      </c>
      <c r="K86" s="432">
        <f t="shared" si="6"/>
        <v>450.00023763662455</v>
      </c>
    </row>
    <row r="87" spans="1:11" s="432" customFormat="1" ht="17.100000000000001" customHeight="1" x14ac:dyDescent="0.25">
      <c r="A87" s="166">
        <v>13</v>
      </c>
      <c r="B87" s="214" t="s">
        <v>449</v>
      </c>
      <c r="C87" s="166">
        <f>'Office Minor'!C717</f>
        <v>0</v>
      </c>
      <c r="D87" s="166">
        <f>'Office Minor'!D717</f>
        <v>0</v>
      </c>
      <c r="E87" s="166">
        <f>'Office Minor'!E717</f>
        <v>0</v>
      </c>
      <c r="F87" s="166">
        <f>'Office Minor'!F717</f>
        <v>0</v>
      </c>
      <c r="G87" s="166">
        <f>'Office Minor'!G717</f>
        <v>0</v>
      </c>
      <c r="H87" s="166">
        <f>'Office Minor'!H717</f>
        <v>0</v>
      </c>
      <c r="K87" s="432" t="e">
        <f t="shared" si="6"/>
        <v>#DIV/0!</v>
      </c>
    </row>
    <row r="88" spans="1:11" s="432" customFormat="1" ht="17.100000000000001" customHeight="1" x14ac:dyDescent="0.25">
      <c r="A88" s="166">
        <v>14</v>
      </c>
      <c r="B88" s="214" t="s">
        <v>109</v>
      </c>
      <c r="C88" s="166">
        <f>'Office Minor'!C680</f>
        <v>1</v>
      </c>
      <c r="D88" s="166">
        <f>'Office Minor'!D680</f>
        <v>23.94</v>
      </c>
      <c r="E88" s="166">
        <f>'Office Minor'!E680</f>
        <v>24341</v>
      </c>
      <c r="F88" s="166">
        <f>'Office Minor'!F680</f>
        <v>10710136</v>
      </c>
      <c r="G88" s="166">
        <f>'Office Minor'!G680</f>
        <v>1734579</v>
      </c>
      <c r="H88" s="166">
        <f>'Office Minor'!H680</f>
        <v>25</v>
      </c>
      <c r="K88" s="432">
        <f t="shared" si="6"/>
        <v>440.003943962861</v>
      </c>
    </row>
    <row r="89" spans="1:11" s="432" customFormat="1" ht="17.100000000000001" customHeight="1" x14ac:dyDescent="0.25">
      <c r="A89" s="166">
        <v>15</v>
      </c>
      <c r="B89" s="19" t="s">
        <v>83</v>
      </c>
      <c r="C89" s="279">
        <f>'Office Minor'!C805</f>
        <v>2</v>
      </c>
      <c r="D89" s="279">
        <f>'Office Minor'!D805</f>
        <v>59</v>
      </c>
      <c r="E89" s="279">
        <f>'Office Minor'!E805</f>
        <v>45650</v>
      </c>
      <c r="F89" s="279">
        <f>'Office Minor'!F805</f>
        <v>20086014.94299636</v>
      </c>
      <c r="G89" s="279">
        <f>'Office Minor'!G805</f>
        <v>1611628</v>
      </c>
      <c r="H89" s="279">
        <f>'Office Minor'!H805</f>
        <v>15</v>
      </c>
      <c r="K89" s="432">
        <f t="shared" si="6"/>
        <v>440.00032733836497</v>
      </c>
    </row>
    <row r="90" spans="1:11" s="432" customFormat="1" ht="17.100000000000001" customHeight="1" x14ac:dyDescent="0.25">
      <c r="A90" s="1136" t="s">
        <v>50</v>
      </c>
      <c r="B90" s="1137"/>
      <c r="C90" s="259">
        <f>SUM(C75:C89)</f>
        <v>476</v>
      </c>
      <c r="D90" s="260">
        <f t="shared" ref="D90:H90" si="7">SUM(D75:D89)</f>
        <v>4677.0889999999999</v>
      </c>
      <c r="E90" s="260">
        <f t="shared" si="7"/>
        <v>5933197.9900000002</v>
      </c>
      <c r="F90" s="439">
        <f t="shared" si="7"/>
        <v>2603616938.5429964</v>
      </c>
      <c r="G90" s="261">
        <f>SUM(G75:G89)</f>
        <v>346368558</v>
      </c>
      <c r="H90" s="261">
        <f t="shared" si="7"/>
        <v>2864</v>
      </c>
      <c r="K90" s="432">
        <f t="shared" si="6"/>
        <v>438.82185339697327</v>
      </c>
    </row>
    <row r="91" spans="1:11" s="432" customFormat="1" ht="17.100000000000001" customHeight="1" x14ac:dyDescent="0.25">
      <c r="A91" s="440"/>
      <c r="B91" s="440"/>
      <c r="C91" s="441"/>
      <c r="D91" s="442"/>
      <c r="E91" s="442"/>
      <c r="F91" s="443"/>
      <c r="G91" s="444"/>
      <c r="H91" s="444"/>
      <c r="K91" s="432" t="e">
        <f t="shared" si="6"/>
        <v>#DIV/0!</v>
      </c>
    </row>
    <row r="92" spans="1:11" s="432" customFormat="1" ht="17.100000000000001" customHeight="1" x14ac:dyDescent="0.25">
      <c r="A92" s="1149" t="s">
        <v>55</v>
      </c>
      <c r="B92" s="1149"/>
      <c r="C92" s="1149"/>
      <c r="D92" s="1149"/>
      <c r="E92" s="1149"/>
      <c r="F92" s="1149"/>
      <c r="G92" s="1149"/>
      <c r="H92" s="1149"/>
      <c r="K92" s="432" t="e">
        <f t="shared" si="6"/>
        <v>#DIV/0!</v>
      </c>
    </row>
    <row r="93" spans="1:11" s="432" customFormat="1" ht="17.100000000000001" customHeight="1" x14ac:dyDescent="0.25">
      <c r="A93" s="1122" t="s">
        <v>2</v>
      </c>
      <c r="B93" s="1124" t="s">
        <v>77</v>
      </c>
      <c r="C93" s="249" t="s">
        <v>4</v>
      </c>
      <c r="D93" s="249" t="s">
        <v>5</v>
      </c>
      <c r="E93" s="249" t="s">
        <v>6</v>
      </c>
      <c r="F93" s="249" t="s">
        <v>7</v>
      </c>
      <c r="G93" s="249" t="s">
        <v>8</v>
      </c>
      <c r="H93" s="249" t="s">
        <v>9</v>
      </c>
      <c r="K93" s="432" t="e">
        <f t="shared" si="6"/>
        <v>#VALUE!</v>
      </c>
    </row>
    <row r="94" spans="1:11" s="432" customFormat="1" ht="17.100000000000001" customHeight="1" x14ac:dyDescent="0.25">
      <c r="A94" s="1123"/>
      <c r="B94" s="1125"/>
      <c r="C94" s="2" t="s">
        <v>10</v>
      </c>
      <c r="D94" s="2" t="s">
        <v>52</v>
      </c>
      <c r="E94" s="2" t="s">
        <v>79</v>
      </c>
      <c r="F94" s="52" t="s">
        <v>80</v>
      </c>
      <c r="G94" s="52" t="s">
        <v>80</v>
      </c>
      <c r="H94" s="2" t="s">
        <v>13</v>
      </c>
      <c r="K94" s="432" t="e">
        <f t="shared" si="6"/>
        <v>#VALUE!</v>
      </c>
    </row>
    <row r="95" spans="1:11" s="432" customFormat="1" ht="17.100000000000001" customHeight="1" x14ac:dyDescent="0.25">
      <c r="A95" s="166">
        <v>1</v>
      </c>
      <c r="B95" s="433" t="s">
        <v>86</v>
      </c>
      <c r="C95" s="137">
        <f>'Office Minor'!C47</f>
        <v>0</v>
      </c>
      <c r="D95" s="137">
        <f>'Office Minor'!D47</f>
        <v>0</v>
      </c>
      <c r="E95" s="137">
        <f>'Office Minor'!E47</f>
        <v>0</v>
      </c>
      <c r="F95" s="137">
        <f>'Office Minor'!F47</f>
        <v>0</v>
      </c>
      <c r="G95" s="137">
        <f>'Office Minor'!G47</f>
        <v>0</v>
      </c>
      <c r="H95" s="137">
        <f>'Office Minor'!H47</f>
        <v>0</v>
      </c>
      <c r="K95" s="432" t="e">
        <f t="shared" si="6"/>
        <v>#DIV/0!</v>
      </c>
    </row>
    <row r="96" spans="1:11" s="432" customFormat="1" ht="17.100000000000001" customHeight="1" x14ac:dyDescent="0.25">
      <c r="A96" s="166">
        <v>2</v>
      </c>
      <c r="B96" s="19" t="s">
        <v>389</v>
      </c>
      <c r="C96" s="198">
        <f>'Office Minor'!C643</f>
        <v>1</v>
      </c>
      <c r="D96" s="198">
        <f>'Office Minor'!D643</f>
        <v>0.71</v>
      </c>
      <c r="E96" s="198">
        <f>'Office Minor'!E643</f>
        <v>196</v>
      </c>
      <c r="F96" s="198">
        <f>'Office Minor'!F643</f>
        <v>24154</v>
      </c>
      <c r="G96" s="198">
        <f>'Office Minor'!G643</f>
        <v>21566</v>
      </c>
      <c r="H96" s="198">
        <f>'Office Minor'!H643</f>
        <v>5</v>
      </c>
      <c r="K96" s="432">
        <f t="shared" si="6"/>
        <v>123.23469387755102</v>
      </c>
    </row>
    <row r="97" spans="1:11" s="432" customFormat="1" ht="17.100000000000001" customHeight="1" x14ac:dyDescent="0.25">
      <c r="A97" s="1136" t="s">
        <v>50</v>
      </c>
      <c r="B97" s="1137"/>
      <c r="C97" s="258">
        <f>SUM(C95:C96)</f>
        <v>1</v>
      </c>
      <c r="D97" s="429">
        <f t="shared" ref="D97:H97" si="8">SUM(D95:D96)</f>
        <v>0.71</v>
      </c>
      <c r="E97" s="430">
        <f t="shared" si="8"/>
        <v>196</v>
      </c>
      <c r="F97" s="430">
        <f t="shared" si="8"/>
        <v>24154</v>
      </c>
      <c r="G97" s="430">
        <f>SUM(G95:G96)</f>
        <v>21566</v>
      </c>
      <c r="H97" s="430">
        <f t="shared" si="8"/>
        <v>5</v>
      </c>
      <c r="K97" s="432">
        <f t="shared" si="6"/>
        <v>123.23469387755102</v>
      </c>
    </row>
    <row r="98" spans="1:11" s="432" customFormat="1" ht="17.100000000000001" customHeight="1" x14ac:dyDescent="0.25">
      <c r="A98" s="352"/>
      <c r="B98" s="352"/>
      <c r="C98" s="352"/>
      <c r="D98" s="352"/>
      <c r="E98" s="352"/>
      <c r="F98" s="352"/>
      <c r="G98" s="352"/>
      <c r="H98" s="352"/>
      <c r="K98" s="432" t="e">
        <f t="shared" si="6"/>
        <v>#DIV/0!</v>
      </c>
    </row>
    <row r="99" spans="1:11" s="432" customFormat="1" ht="17.100000000000001" customHeight="1" x14ac:dyDescent="0.25">
      <c r="A99" s="1149" t="s">
        <v>56</v>
      </c>
      <c r="B99" s="1149"/>
      <c r="C99" s="1149"/>
      <c r="D99" s="1149"/>
      <c r="E99" s="1149"/>
      <c r="F99" s="1149"/>
      <c r="G99" s="1149"/>
      <c r="H99" s="1149"/>
      <c r="K99" s="432" t="e">
        <f t="shared" si="6"/>
        <v>#DIV/0!</v>
      </c>
    </row>
    <row r="100" spans="1:11" s="432" customFormat="1" ht="17.100000000000001" customHeight="1" x14ac:dyDescent="0.25">
      <c r="A100" s="1122" t="s">
        <v>2</v>
      </c>
      <c r="B100" s="1124" t="s">
        <v>77</v>
      </c>
      <c r="C100" s="249" t="s">
        <v>4</v>
      </c>
      <c r="D100" s="249" t="s">
        <v>5</v>
      </c>
      <c r="E100" s="249" t="s">
        <v>6</v>
      </c>
      <c r="F100" s="249" t="s">
        <v>7</v>
      </c>
      <c r="G100" s="249" t="s">
        <v>8</v>
      </c>
      <c r="H100" s="249" t="s">
        <v>9</v>
      </c>
      <c r="K100" s="432" t="e">
        <f t="shared" si="6"/>
        <v>#VALUE!</v>
      </c>
    </row>
    <row r="101" spans="1:11" s="432" customFormat="1" ht="17.100000000000001" customHeight="1" x14ac:dyDescent="0.25">
      <c r="A101" s="1123"/>
      <c r="B101" s="1125"/>
      <c r="C101" s="2" t="s">
        <v>10</v>
      </c>
      <c r="D101" s="2" t="s">
        <v>52</v>
      </c>
      <c r="E101" s="2" t="s">
        <v>79</v>
      </c>
      <c r="F101" s="52" t="s">
        <v>80</v>
      </c>
      <c r="G101" s="52" t="s">
        <v>80</v>
      </c>
      <c r="H101" s="2" t="s">
        <v>13</v>
      </c>
      <c r="K101" s="432" t="e">
        <f t="shared" si="6"/>
        <v>#VALUE!</v>
      </c>
    </row>
    <row r="102" spans="1:11" s="432" customFormat="1" ht="17.100000000000001" customHeight="1" x14ac:dyDescent="0.25">
      <c r="A102" s="166">
        <v>1</v>
      </c>
      <c r="B102" s="433" t="s">
        <v>108</v>
      </c>
      <c r="C102" s="63">
        <f>'Office Minor'!C547</f>
        <v>1</v>
      </c>
      <c r="D102" s="63">
        <f>'Office Minor'!D547</f>
        <v>0.42</v>
      </c>
      <c r="E102" s="63">
        <f>'Office Minor'!E547</f>
        <v>3457</v>
      </c>
      <c r="F102" s="63">
        <f>'Office Minor'!F547</f>
        <v>3457440</v>
      </c>
      <c r="G102" s="63">
        <f>'Office Minor'!G547</f>
        <v>30870</v>
      </c>
      <c r="H102" s="63">
        <f>'Office Minor'!H547</f>
        <v>0</v>
      </c>
      <c r="K102" s="432">
        <f t="shared" si="6"/>
        <v>1000.1272779866937</v>
      </c>
    </row>
    <row r="103" spans="1:11" s="432" customFormat="1" ht="17.100000000000001" customHeight="1" x14ac:dyDescent="0.25">
      <c r="A103" s="166">
        <v>2</v>
      </c>
      <c r="B103" s="433" t="s">
        <v>90</v>
      </c>
      <c r="C103" s="137">
        <f>'Office Minor'!C600</f>
        <v>31</v>
      </c>
      <c r="D103" s="137">
        <f>'Office Minor'!D600</f>
        <v>34.71</v>
      </c>
      <c r="E103" s="137">
        <f>'Office Minor'!E600</f>
        <v>61074</v>
      </c>
      <c r="F103" s="137">
        <f>'Office Minor'!F600</f>
        <v>64127700</v>
      </c>
      <c r="G103" s="137">
        <f>'Office Minor'!G600</f>
        <v>11407000</v>
      </c>
      <c r="H103" s="137">
        <f>'Office Minor'!H600</f>
        <v>180</v>
      </c>
      <c r="K103" s="432">
        <f t="shared" si="6"/>
        <v>1050</v>
      </c>
    </row>
    <row r="104" spans="1:11" s="432" customFormat="1" ht="17.100000000000001" customHeight="1" x14ac:dyDescent="0.25">
      <c r="A104" s="1136" t="s">
        <v>50</v>
      </c>
      <c r="B104" s="1137"/>
      <c r="C104" s="258">
        <f>SUM(C102:C103)</f>
        <v>32</v>
      </c>
      <c r="D104" s="429">
        <f t="shared" ref="D104:H104" si="9">SUM(D102:D103)</f>
        <v>35.130000000000003</v>
      </c>
      <c r="E104" s="430">
        <f t="shared" si="9"/>
        <v>64531</v>
      </c>
      <c r="F104" s="258">
        <f t="shared" si="9"/>
        <v>67585140</v>
      </c>
      <c r="G104" s="430">
        <f>SUM(G102:G103)</f>
        <v>11437870</v>
      </c>
      <c r="H104" s="430">
        <f t="shared" si="9"/>
        <v>180</v>
      </c>
      <c r="K104" s="432">
        <f t="shared" si="6"/>
        <v>1047.3282608358772</v>
      </c>
    </row>
    <row r="105" spans="1:11" s="432" customFormat="1" ht="17.100000000000001" customHeight="1" x14ac:dyDescent="0.25">
      <c r="A105" s="352"/>
      <c r="B105" s="352"/>
      <c r="C105" s="352"/>
      <c r="D105" s="352"/>
      <c r="E105" s="352"/>
      <c r="F105" s="352"/>
      <c r="G105" s="352"/>
      <c r="H105" s="352"/>
      <c r="K105" s="432" t="e">
        <f t="shared" si="6"/>
        <v>#DIV/0!</v>
      </c>
    </row>
    <row r="106" spans="1:11" s="432" customFormat="1" ht="17.100000000000001" customHeight="1" x14ac:dyDescent="0.25">
      <c r="A106" s="1138" t="s">
        <v>27</v>
      </c>
      <c r="B106" s="1138"/>
      <c r="C106" s="1138"/>
      <c r="D106" s="1138"/>
      <c r="E106" s="1138"/>
      <c r="F106" s="1138"/>
      <c r="G106" s="1138"/>
      <c r="H106" s="1138"/>
      <c r="K106" s="432" t="e">
        <f t="shared" si="6"/>
        <v>#DIV/0!</v>
      </c>
    </row>
    <row r="107" spans="1:11" s="432" customFormat="1" ht="17.100000000000001" customHeight="1" x14ac:dyDescent="0.25">
      <c r="A107" s="1122" t="s">
        <v>2</v>
      </c>
      <c r="B107" s="1124" t="s">
        <v>77</v>
      </c>
      <c r="C107" s="249" t="s">
        <v>4</v>
      </c>
      <c r="D107" s="249" t="s">
        <v>5</v>
      </c>
      <c r="E107" s="249" t="s">
        <v>6</v>
      </c>
      <c r="F107" s="249" t="s">
        <v>7</v>
      </c>
      <c r="G107" s="249" t="s">
        <v>8</v>
      </c>
      <c r="H107" s="249" t="s">
        <v>9</v>
      </c>
      <c r="K107" s="432" t="e">
        <f t="shared" si="6"/>
        <v>#VALUE!</v>
      </c>
    </row>
    <row r="108" spans="1:11" s="432" customFormat="1" ht="17.100000000000001" customHeight="1" x14ac:dyDescent="0.25">
      <c r="A108" s="1123"/>
      <c r="B108" s="1125"/>
      <c r="C108" s="2" t="s">
        <v>10</v>
      </c>
      <c r="D108" s="2" t="s">
        <v>78</v>
      </c>
      <c r="E108" s="2" t="s">
        <v>79</v>
      </c>
      <c r="F108" s="52" t="s">
        <v>80</v>
      </c>
      <c r="G108" s="52" t="s">
        <v>80</v>
      </c>
      <c r="H108" s="2" t="s">
        <v>13</v>
      </c>
      <c r="K108" s="432" t="e">
        <f t="shared" si="6"/>
        <v>#VALUE!</v>
      </c>
    </row>
    <row r="109" spans="1:11" s="432" customFormat="1" ht="17.100000000000001" customHeight="1" x14ac:dyDescent="0.25">
      <c r="A109" s="166">
        <v>1</v>
      </c>
      <c r="B109" s="214" t="s">
        <v>150</v>
      </c>
      <c r="C109" s="166">
        <f>'Office Minor'!C79</f>
        <v>1</v>
      </c>
      <c r="D109" s="421">
        <f>'Office Minor'!D79</f>
        <v>71.319999999999993</v>
      </c>
      <c r="E109" s="166">
        <f>'Office Minor'!E79</f>
        <v>18004</v>
      </c>
      <c r="F109" s="166">
        <f>'Office Minor'!F79</f>
        <v>32407812</v>
      </c>
      <c r="G109" s="166">
        <f>'Office Minor'!G79</f>
        <v>4054822</v>
      </c>
      <c r="H109" s="166">
        <f>'Office Minor'!H79</f>
        <v>20</v>
      </c>
      <c r="K109" s="432">
        <f t="shared" si="6"/>
        <v>1800.0339924461232</v>
      </c>
    </row>
    <row r="110" spans="1:11" s="432" customFormat="1" ht="17.100000000000001" customHeight="1" x14ac:dyDescent="0.25">
      <c r="A110" s="166">
        <v>2</v>
      </c>
      <c r="B110" s="214" t="s">
        <v>87</v>
      </c>
      <c r="C110" s="166">
        <f>'Office Minor'!C373+'Office Minor'!C52</f>
        <v>2</v>
      </c>
      <c r="D110" s="166">
        <f>'Office Minor'!D373+'Office Minor'!D52</f>
        <v>65.81</v>
      </c>
      <c r="E110" s="166">
        <f>'Office Minor'!E373+'Office Minor'!E52</f>
        <v>17450</v>
      </c>
      <c r="F110" s="166">
        <f>'Office Minor'!F373+'Office Minor'!F52</f>
        <v>27222000</v>
      </c>
      <c r="G110" s="166">
        <f>'Office Minor'!G373+'Office Minor'!G52</f>
        <v>2914212</v>
      </c>
      <c r="H110" s="166">
        <f>'Office Minor'!H373+'Office Minor'!H52</f>
        <v>100</v>
      </c>
      <c r="K110" s="432">
        <f t="shared" si="6"/>
        <v>1560</v>
      </c>
    </row>
    <row r="111" spans="1:11" s="432" customFormat="1" ht="17.100000000000001" customHeight="1" x14ac:dyDescent="0.25">
      <c r="A111" s="166">
        <v>3</v>
      </c>
      <c r="B111" s="214" t="s">
        <v>154</v>
      </c>
      <c r="C111" s="143">
        <f>'Office Minor'!C344</f>
        <v>1</v>
      </c>
      <c r="D111" s="275">
        <f>'Office Minor'!D344</f>
        <v>32.369999999999997</v>
      </c>
      <c r="E111" s="143">
        <f>'Office Minor'!E344</f>
        <v>16337.37</v>
      </c>
      <c r="F111" s="143">
        <f>'Office Minor'!F344</f>
        <v>31041003</v>
      </c>
      <c r="G111" s="143">
        <f>'Office Minor'!G344</f>
        <v>2813632</v>
      </c>
      <c r="H111" s="143">
        <f>'Office Minor'!H344</f>
        <v>4</v>
      </c>
      <c r="K111" s="432">
        <f t="shared" si="6"/>
        <v>1900</v>
      </c>
    </row>
    <row r="112" spans="1:11" s="432" customFormat="1" ht="17.100000000000001" customHeight="1" x14ac:dyDescent="0.25">
      <c r="A112" s="166">
        <v>4</v>
      </c>
      <c r="B112" s="214" t="s">
        <v>88</v>
      </c>
      <c r="C112" s="145">
        <f>'Office Minor'!C488</f>
        <v>1</v>
      </c>
      <c r="D112" s="285">
        <f>'Office Minor'!D488</f>
        <v>60.56</v>
      </c>
      <c r="E112" s="145">
        <f>'Office Minor'!E488</f>
        <v>22999</v>
      </c>
      <c r="F112" s="145">
        <f>'Office Minor'!F488</f>
        <v>41397444</v>
      </c>
      <c r="G112" s="145">
        <f>'Office Minor'!G488</f>
        <v>2989815</v>
      </c>
      <c r="H112" s="145">
        <f>'Office Minor'!H488</f>
        <v>50</v>
      </c>
      <c r="K112" s="432">
        <f t="shared" si="6"/>
        <v>1799.967129005609</v>
      </c>
    </row>
    <row r="113" spans="1:11" s="432" customFormat="1" ht="17.100000000000001" customHeight="1" x14ac:dyDescent="0.25">
      <c r="A113" s="166">
        <v>5</v>
      </c>
      <c r="B113" s="214" t="s">
        <v>90</v>
      </c>
      <c r="C113" s="196">
        <f>'Office Minor'!C605</f>
        <v>20</v>
      </c>
      <c r="D113" s="271">
        <f>'Office Minor'!D605</f>
        <v>833.34</v>
      </c>
      <c r="E113" s="196">
        <f>'Office Minor'!E605</f>
        <v>1712527</v>
      </c>
      <c r="F113" s="196">
        <f>'Office Minor'!F605</f>
        <v>2654416850</v>
      </c>
      <c r="G113" s="196">
        <f>'Office Minor'!G605</f>
        <v>72507000</v>
      </c>
      <c r="H113" s="196">
        <f>'Office Minor'!H605</f>
        <v>390</v>
      </c>
      <c r="K113" s="432">
        <f t="shared" si="6"/>
        <v>1550</v>
      </c>
    </row>
    <row r="114" spans="1:11" s="432" customFormat="1" ht="17.100000000000001" customHeight="1" x14ac:dyDescent="0.25">
      <c r="A114" s="166">
        <v>6</v>
      </c>
      <c r="B114" s="214" t="s">
        <v>99</v>
      </c>
      <c r="C114" s="166">
        <f>'Office Minor'!C663</f>
        <v>20</v>
      </c>
      <c r="D114" s="421">
        <f>'Office Minor'!D663</f>
        <v>14.3</v>
      </c>
      <c r="E114" s="166">
        <f>'Office Minor'!E663</f>
        <v>28668</v>
      </c>
      <c r="F114" s="166">
        <f>'Office Minor'!F663</f>
        <v>51602400</v>
      </c>
      <c r="G114" s="166">
        <f>'Office Minor'!G663</f>
        <v>7453680</v>
      </c>
      <c r="H114" s="166">
        <f>'Office Minor'!H663</f>
        <v>0</v>
      </c>
      <c r="K114" s="432">
        <f t="shared" si="6"/>
        <v>1800</v>
      </c>
    </row>
    <row r="115" spans="1:11" s="432" customFormat="1" ht="17.100000000000001" customHeight="1" x14ac:dyDescent="0.25">
      <c r="A115" s="166"/>
      <c r="B115" s="214" t="s">
        <v>403</v>
      </c>
      <c r="C115" s="166">
        <f>'Office Minor'!C570</f>
        <v>0</v>
      </c>
      <c r="D115" s="166">
        <f>'Office Minor'!D570</f>
        <v>0</v>
      </c>
      <c r="E115" s="166">
        <f>'Office Minor'!E570</f>
        <v>11.06</v>
      </c>
      <c r="F115" s="166">
        <f>'Office Minor'!F570</f>
        <v>19908</v>
      </c>
      <c r="G115" s="166">
        <f>'Office Minor'!G570</f>
        <v>2798.1800000000003</v>
      </c>
      <c r="H115" s="166">
        <f>'Office Minor'!H570</f>
        <v>0</v>
      </c>
      <c r="K115" s="432">
        <f t="shared" si="6"/>
        <v>1800</v>
      </c>
    </row>
    <row r="116" spans="1:11" s="432" customFormat="1" ht="17.100000000000001" customHeight="1" x14ac:dyDescent="0.25">
      <c r="A116" s="166">
        <v>7</v>
      </c>
      <c r="B116" s="214" t="s">
        <v>112</v>
      </c>
      <c r="C116" s="602">
        <f>'Office Minor'!C535</f>
        <v>1</v>
      </c>
      <c r="D116" s="603">
        <f>'Office Minor'!D535</f>
        <v>1</v>
      </c>
      <c r="E116" s="602">
        <f>'Office Minor'!E535</f>
        <v>303.5</v>
      </c>
      <c r="F116" s="602">
        <f>'Office Minor'!F535</f>
        <v>515900</v>
      </c>
      <c r="G116" s="602">
        <f>'Office Minor'!G535</f>
        <v>12481053</v>
      </c>
      <c r="H116" s="602">
        <f>'Office Minor'!H535</f>
        <v>50</v>
      </c>
      <c r="K116" s="432">
        <f t="shared" si="6"/>
        <v>1699.8352553542011</v>
      </c>
    </row>
    <row r="117" spans="1:11" s="432" customFormat="1" ht="17.100000000000001" customHeight="1" x14ac:dyDescent="0.25">
      <c r="A117" s="166">
        <v>8</v>
      </c>
      <c r="B117" s="214" t="s">
        <v>83</v>
      </c>
      <c r="C117" s="166">
        <f>'Office Minor'!C802</f>
        <v>11</v>
      </c>
      <c r="D117" s="421">
        <f>'Office Minor'!D802</f>
        <v>570.46</v>
      </c>
      <c r="E117" s="166">
        <f>'Office Minor'!E802</f>
        <v>226477</v>
      </c>
      <c r="F117" s="166">
        <f>'Office Minor'!F802</f>
        <v>396334750</v>
      </c>
      <c r="G117" s="166">
        <f>'Office Minor'!G802</f>
        <v>62334322</v>
      </c>
      <c r="H117" s="166">
        <f>'Office Minor'!H802</f>
        <v>18</v>
      </c>
      <c r="K117" s="432">
        <f t="shared" si="6"/>
        <v>1750</v>
      </c>
    </row>
    <row r="118" spans="1:11" s="432" customFormat="1" ht="17.100000000000001" customHeight="1" x14ac:dyDescent="0.25">
      <c r="A118" s="1136" t="s">
        <v>50</v>
      </c>
      <c r="B118" s="1137"/>
      <c r="C118" s="259">
        <f>SUM(C109:C117)</f>
        <v>57</v>
      </c>
      <c r="D118" s="259">
        <f t="shared" ref="D118:H118" si="10">SUM(D109:D117)</f>
        <v>1649.16</v>
      </c>
      <c r="E118" s="259">
        <f t="shared" si="10"/>
        <v>2042776.9300000002</v>
      </c>
      <c r="F118" s="259">
        <f t="shared" si="10"/>
        <v>3234958067</v>
      </c>
      <c r="G118" s="259">
        <f t="shared" si="10"/>
        <v>167551334.18000001</v>
      </c>
      <c r="H118" s="259">
        <f t="shared" si="10"/>
        <v>632</v>
      </c>
      <c r="K118" s="432">
        <f t="shared" si="6"/>
        <v>1583.6080873499975</v>
      </c>
    </row>
    <row r="119" spans="1:11" s="432" customFormat="1" ht="17.100000000000001" customHeight="1" x14ac:dyDescent="0.25">
      <c r="A119" s="440"/>
      <c r="B119" s="440"/>
      <c r="C119" s="441"/>
      <c r="D119" s="442"/>
      <c r="E119" s="444"/>
      <c r="F119" s="444"/>
      <c r="G119" s="444"/>
      <c r="H119" s="441"/>
      <c r="K119" s="432" t="e">
        <f t="shared" si="6"/>
        <v>#DIV/0!</v>
      </c>
    </row>
    <row r="120" spans="1:11" s="432" customFormat="1" ht="17.100000000000001" customHeight="1" x14ac:dyDescent="0.25">
      <c r="A120" s="440"/>
      <c r="B120" s="440"/>
      <c r="C120" s="441"/>
      <c r="D120" s="442"/>
      <c r="E120" s="444"/>
      <c r="F120" s="444"/>
      <c r="G120" s="444"/>
      <c r="H120" s="441"/>
      <c r="K120" s="432" t="e">
        <f t="shared" si="6"/>
        <v>#DIV/0!</v>
      </c>
    </row>
    <row r="121" spans="1:11" s="432" customFormat="1" ht="17.100000000000001" customHeight="1" x14ac:dyDescent="0.25">
      <c r="A121" s="1138" t="s">
        <v>41</v>
      </c>
      <c r="B121" s="1138"/>
      <c r="C121" s="1138"/>
      <c r="D121" s="1138"/>
      <c r="E121" s="1138"/>
      <c r="F121" s="1138"/>
      <c r="G121" s="1138"/>
      <c r="H121" s="1138"/>
      <c r="K121" s="432" t="e">
        <f t="shared" si="6"/>
        <v>#DIV/0!</v>
      </c>
    </row>
    <row r="122" spans="1:11" s="432" customFormat="1" ht="17.100000000000001" customHeight="1" x14ac:dyDescent="0.25">
      <c r="A122" s="1122" t="s">
        <v>2</v>
      </c>
      <c r="B122" s="1124" t="s">
        <v>77</v>
      </c>
      <c r="C122" s="249" t="s">
        <v>4</v>
      </c>
      <c r="D122" s="249" t="s">
        <v>5</v>
      </c>
      <c r="E122" s="249" t="s">
        <v>6</v>
      </c>
      <c r="F122" s="249" t="s">
        <v>7</v>
      </c>
      <c r="G122" s="249" t="s">
        <v>8</v>
      </c>
      <c r="H122" s="249" t="s">
        <v>9</v>
      </c>
      <c r="K122" s="432" t="e">
        <f t="shared" si="6"/>
        <v>#VALUE!</v>
      </c>
    </row>
    <row r="123" spans="1:11" s="432" customFormat="1" ht="17.100000000000001" customHeight="1" x14ac:dyDescent="0.25">
      <c r="A123" s="1123"/>
      <c r="B123" s="1125"/>
      <c r="C123" s="2" t="s">
        <v>10</v>
      </c>
      <c r="D123" s="2" t="s">
        <v>78</v>
      </c>
      <c r="E123" s="2" t="s">
        <v>79</v>
      </c>
      <c r="F123" s="52" t="s">
        <v>80</v>
      </c>
      <c r="G123" s="52" t="s">
        <v>80</v>
      </c>
      <c r="H123" s="2" t="s">
        <v>13</v>
      </c>
      <c r="K123" s="432" t="e">
        <f t="shared" si="6"/>
        <v>#VALUE!</v>
      </c>
    </row>
    <row r="124" spans="1:11" s="432" customFormat="1" ht="17.100000000000001" customHeight="1" x14ac:dyDescent="0.25">
      <c r="A124" s="166">
        <v>1</v>
      </c>
      <c r="B124" s="214" t="s">
        <v>92</v>
      </c>
      <c r="C124" s="143">
        <f>'Office Minor'!C32</f>
        <v>231</v>
      </c>
      <c r="D124" s="143">
        <f>'Office Minor'!D32</f>
        <v>1070.5</v>
      </c>
      <c r="E124" s="143">
        <f>'Office Minor'!E32</f>
        <v>969980</v>
      </c>
      <c r="F124" s="143">
        <f>'Office Minor'!F32</f>
        <v>484990090</v>
      </c>
      <c r="G124" s="143">
        <f>'Office Minor'!G32</f>
        <v>123256043</v>
      </c>
      <c r="H124" s="143">
        <f>'Office Minor'!H32</f>
        <v>1300</v>
      </c>
      <c r="K124" s="432">
        <f t="shared" si="6"/>
        <v>500.00009278541825</v>
      </c>
    </row>
    <row r="125" spans="1:11" s="432" customFormat="1" ht="17.100000000000001" customHeight="1" x14ac:dyDescent="0.25">
      <c r="A125" s="166">
        <v>2</v>
      </c>
      <c r="B125" s="214" t="s">
        <v>86</v>
      </c>
      <c r="C125" s="166">
        <f>'Office Minor'!C50</f>
        <v>1</v>
      </c>
      <c r="D125" s="166">
        <f>'Office Minor'!D50</f>
        <v>4</v>
      </c>
      <c r="E125" s="166">
        <f>'Office Minor'!E50</f>
        <v>0</v>
      </c>
      <c r="F125" s="166">
        <f>'Office Minor'!F50</f>
        <v>0</v>
      </c>
      <c r="G125" s="166">
        <f>'Office Minor'!G50</f>
        <v>0</v>
      </c>
      <c r="H125" s="166">
        <f>'Office Minor'!H50</f>
        <v>0</v>
      </c>
      <c r="K125" s="432" t="e">
        <f t="shared" si="6"/>
        <v>#DIV/0!</v>
      </c>
    </row>
    <row r="126" spans="1:11" s="432" customFormat="1" ht="17.100000000000001" customHeight="1" x14ac:dyDescent="0.25">
      <c r="A126" s="166">
        <v>3</v>
      </c>
      <c r="B126" s="214" t="s">
        <v>123</v>
      </c>
      <c r="C126" s="166">
        <f>'Office Minor'!C15</f>
        <v>380</v>
      </c>
      <c r="D126" s="166">
        <f>'Office Minor'!D15</f>
        <v>1829.4269999999999</v>
      </c>
      <c r="E126" s="166">
        <f>'Office Minor'!E15</f>
        <v>705055</v>
      </c>
      <c r="F126" s="166">
        <f>'Office Minor'!F15</f>
        <v>341951675</v>
      </c>
      <c r="G126" s="166">
        <f>'Office Minor'!G15</f>
        <v>103765098</v>
      </c>
      <c r="H126" s="166">
        <f>'Office Minor'!H15</f>
        <v>458</v>
      </c>
      <c r="K126" s="432">
        <f t="shared" si="6"/>
        <v>485</v>
      </c>
    </row>
    <row r="127" spans="1:11" s="432" customFormat="1" ht="17.100000000000001" customHeight="1" x14ac:dyDescent="0.25">
      <c r="A127" s="166">
        <v>4</v>
      </c>
      <c r="B127" s="214" t="s">
        <v>102</v>
      </c>
      <c r="C127" s="166">
        <f>'Office Minor'!C149</f>
        <v>1</v>
      </c>
      <c r="D127" s="166">
        <f>'Office Minor'!D149</f>
        <v>4.6561000000000003</v>
      </c>
      <c r="E127" s="166">
        <f>'Office Minor'!E149</f>
        <v>27746</v>
      </c>
      <c r="F127" s="166">
        <f>'Office Minor'!F149</f>
        <v>13040384</v>
      </c>
      <c r="G127" s="166">
        <f>'Office Minor'!G149</f>
        <v>116432</v>
      </c>
      <c r="H127" s="166">
        <f>'Office Minor'!H149</f>
        <v>0</v>
      </c>
      <c r="K127" s="432">
        <f t="shared" si="6"/>
        <v>469.99149426944422</v>
      </c>
    </row>
    <row r="128" spans="1:11" s="432" customFormat="1" ht="17.100000000000001" customHeight="1" x14ac:dyDescent="0.25">
      <c r="A128" s="166">
        <v>5</v>
      </c>
      <c r="B128" s="214" t="s">
        <v>191</v>
      </c>
      <c r="C128" s="166">
        <f>'Office Minor'!C132</f>
        <v>233</v>
      </c>
      <c r="D128" s="166">
        <f>'Office Minor'!D132</f>
        <v>1120.5999999999999</v>
      </c>
      <c r="E128" s="166">
        <f>'Office Minor'!E132</f>
        <v>3270739</v>
      </c>
      <c r="F128" s="166">
        <f>'Office Minor'!F132</f>
        <v>1579766937</v>
      </c>
      <c r="G128" s="166">
        <f>'Office Minor'!G132</f>
        <v>373129024</v>
      </c>
      <c r="H128" s="166">
        <f>'Office Minor'!H132</f>
        <v>600</v>
      </c>
      <c r="K128" s="432">
        <f t="shared" si="6"/>
        <v>483</v>
      </c>
    </row>
    <row r="129" spans="1:11" s="432" customFormat="1" ht="17.100000000000001" customHeight="1" x14ac:dyDescent="0.25">
      <c r="A129" s="166">
        <v>6</v>
      </c>
      <c r="B129" s="214" t="s">
        <v>81</v>
      </c>
      <c r="C129" s="166">
        <f>'Office Minor'!C182</f>
        <v>804</v>
      </c>
      <c r="D129" s="166">
        <f>'Office Minor'!D182</f>
        <v>3941</v>
      </c>
      <c r="E129" s="166">
        <f>'Office Minor'!E182</f>
        <v>1667285</v>
      </c>
      <c r="F129" s="166">
        <f>'Office Minor'!F182</f>
        <v>805298655</v>
      </c>
      <c r="G129" s="166">
        <f>'Office Minor'!G182</f>
        <v>185772046</v>
      </c>
      <c r="H129" s="166">
        <f>'Office Minor'!H182</f>
        <v>4500</v>
      </c>
      <c r="K129" s="432">
        <f t="shared" si="6"/>
        <v>483</v>
      </c>
    </row>
    <row r="130" spans="1:11" s="432" customFormat="1" ht="17.100000000000001" customHeight="1" x14ac:dyDescent="0.25">
      <c r="A130" s="166">
        <v>7</v>
      </c>
      <c r="B130" s="214" t="s">
        <v>104</v>
      </c>
      <c r="C130" s="166">
        <f>'Office Minor'!C262</f>
        <v>10</v>
      </c>
      <c r="D130" s="166">
        <f>'Office Minor'!D262</f>
        <v>29.3</v>
      </c>
      <c r="E130" s="166">
        <f>'Office Minor'!E262</f>
        <v>128263</v>
      </c>
      <c r="F130" s="166">
        <f>'Office Minor'!F262</f>
        <v>57718350</v>
      </c>
      <c r="G130" s="166">
        <f>'Office Minor'!G262</f>
        <v>0</v>
      </c>
      <c r="H130" s="166">
        <f>'Office Minor'!H262</f>
        <v>0</v>
      </c>
      <c r="K130" s="432">
        <f t="shared" si="6"/>
        <v>450</v>
      </c>
    </row>
    <row r="131" spans="1:11" s="432" customFormat="1" ht="17.100000000000001" customHeight="1" x14ac:dyDescent="0.25">
      <c r="A131" s="166">
        <v>8</v>
      </c>
      <c r="B131" s="214" t="s">
        <v>87</v>
      </c>
      <c r="C131" s="166">
        <f>'Office Minor'!C369</f>
        <v>32</v>
      </c>
      <c r="D131" s="166">
        <f>'Office Minor'!D369</f>
        <v>153.24</v>
      </c>
      <c r="E131" s="166">
        <f>'Office Minor'!E369</f>
        <v>251989</v>
      </c>
      <c r="F131" s="166">
        <f>'Office Minor'!F369</f>
        <v>131034378</v>
      </c>
      <c r="G131" s="166">
        <f>'Office Minor'!G369</f>
        <v>13505338</v>
      </c>
      <c r="H131" s="166">
        <f>'Office Minor'!H369</f>
        <v>950</v>
      </c>
      <c r="K131" s="432">
        <f t="shared" si="6"/>
        <v>520.00038890586495</v>
      </c>
    </row>
    <row r="132" spans="1:11" s="432" customFormat="1" ht="17.100000000000001" customHeight="1" x14ac:dyDescent="0.25">
      <c r="A132" s="166">
        <v>9</v>
      </c>
      <c r="B132" s="214" t="s">
        <v>84</v>
      </c>
      <c r="C132" s="166">
        <f>'Office Minor'!C420</f>
        <v>20</v>
      </c>
      <c r="D132" s="166">
        <f>'Office Minor'!D420</f>
        <v>90.198700000000002</v>
      </c>
      <c r="E132" s="166">
        <f>'Office Minor'!E420</f>
        <v>128493</v>
      </c>
      <c r="F132" s="166">
        <f>'Office Minor'!F420</f>
        <v>77095800</v>
      </c>
      <c r="G132" s="166">
        <f>'Office Minor'!G420</f>
        <v>4554000</v>
      </c>
      <c r="H132" s="166">
        <f>'Office Minor'!H420</f>
        <v>38</v>
      </c>
      <c r="K132" s="432">
        <f t="shared" si="6"/>
        <v>600</v>
      </c>
    </row>
    <row r="133" spans="1:11" s="432" customFormat="1" ht="17.100000000000001" customHeight="1" x14ac:dyDescent="0.25">
      <c r="A133" s="166">
        <v>10</v>
      </c>
      <c r="B133" s="214" t="s">
        <v>88</v>
      </c>
      <c r="C133" s="279">
        <f>'Office Minor'!C484</f>
        <v>56</v>
      </c>
      <c r="D133" s="279">
        <f>'Office Minor'!D484</f>
        <v>623.5</v>
      </c>
      <c r="E133" s="279">
        <f>'Office Minor'!E484</f>
        <v>3615207</v>
      </c>
      <c r="F133" s="279">
        <f>'Office Minor'!F484</f>
        <v>2837937989</v>
      </c>
      <c r="G133" s="279">
        <f>'Office Minor'!G484</f>
        <v>314523064</v>
      </c>
      <c r="H133" s="279">
        <f>'Office Minor'!H484</f>
        <v>320</v>
      </c>
      <c r="K133" s="432">
        <f t="shared" si="6"/>
        <v>785.00013664501091</v>
      </c>
    </row>
    <row r="134" spans="1:11" s="432" customFormat="1" ht="17.100000000000001" customHeight="1" x14ac:dyDescent="0.25">
      <c r="A134" s="166">
        <v>11</v>
      </c>
      <c r="B134" s="214" t="s">
        <v>116</v>
      </c>
      <c r="C134" s="236">
        <f>'Office Minor'!C782</f>
        <v>56</v>
      </c>
      <c r="D134" s="236">
        <f>'Office Minor'!D782</f>
        <v>262.63</v>
      </c>
      <c r="E134" s="236">
        <f>'Office Minor'!E782</f>
        <v>39748</v>
      </c>
      <c r="F134" s="236">
        <f>'Office Minor'!F782</f>
        <v>19158536</v>
      </c>
      <c r="G134" s="236">
        <f>'Office Minor'!G782</f>
        <v>4292784</v>
      </c>
      <c r="H134" s="236">
        <f>'Office Minor'!H782</f>
        <v>50</v>
      </c>
      <c r="K134" s="432">
        <f t="shared" si="6"/>
        <v>482</v>
      </c>
    </row>
    <row r="135" spans="1:11" s="432" customFormat="1" ht="17.100000000000001" customHeight="1" x14ac:dyDescent="0.25">
      <c r="A135" s="166">
        <v>12</v>
      </c>
      <c r="B135" s="214" t="s">
        <v>456</v>
      </c>
      <c r="C135" s="236">
        <f>'Office Minor'!C538</f>
        <v>61</v>
      </c>
      <c r="D135" s="236">
        <f>'Office Minor'!D538</f>
        <v>282.52999999999997</v>
      </c>
      <c r="E135" s="236">
        <f>'Office Minor'!E538</f>
        <v>1292333</v>
      </c>
      <c r="F135" s="236">
        <f>'Office Minor'!F538</f>
        <v>620319840.00000012</v>
      </c>
      <c r="G135" s="236">
        <f>'Office Minor'!G538</f>
        <v>58853232</v>
      </c>
      <c r="H135" s="236">
        <f>'Office Minor'!H538</f>
        <v>50</v>
      </c>
      <c r="K135" s="432">
        <f t="shared" si="6"/>
        <v>480.00000000000011</v>
      </c>
    </row>
    <row r="136" spans="1:11" s="432" customFormat="1" ht="17.100000000000001" customHeight="1" x14ac:dyDescent="0.25">
      <c r="A136" s="166">
        <v>13</v>
      </c>
      <c r="B136" s="214" t="s">
        <v>376</v>
      </c>
      <c r="C136" s="63">
        <f>'Office Minor'!C696</f>
        <v>0</v>
      </c>
      <c r="D136" s="63">
        <f>'Office Minor'!D696</f>
        <v>0</v>
      </c>
      <c r="E136" s="63">
        <f>'Office Minor'!E696</f>
        <v>0</v>
      </c>
      <c r="F136" s="63">
        <f>'Office Minor'!F696</f>
        <v>0</v>
      </c>
      <c r="G136" s="63">
        <f>'Office Minor'!G696</f>
        <v>0</v>
      </c>
      <c r="H136" s="63">
        <f>'Office Minor'!H696</f>
        <v>0</v>
      </c>
      <c r="K136" s="432" t="e">
        <f t="shared" ref="K136:K199" si="11">F136/E136</f>
        <v>#DIV/0!</v>
      </c>
    </row>
    <row r="137" spans="1:11" s="432" customFormat="1" ht="17.100000000000001" customHeight="1" x14ac:dyDescent="0.25">
      <c r="A137" s="166">
        <v>14</v>
      </c>
      <c r="B137" s="214" t="s">
        <v>100</v>
      </c>
      <c r="C137" s="145">
        <f>'Office Minor'!C718</f>
        <v>15</v>
      </c>
      <c r="D137" s="145">
        <f>'Office Minor'!D718</f>
        <v>200</v>
      </c>
      <c r="E137" s="145">
        <f>'Office Minor'!E718</f>
        <v>677612</v>
      </c>
      <c r="F137" s="145">
        <f>'Office Minor'!F718</f>
        <v>327286789</v>
      </c>
      <c r="G137" s="145">
        <f>'Office Minor'!G718</f>
        <v>73637611</v>
      </c>
      <c r="H137" s="145">
        <f>'Office Minor'!H718</f>
        <v>150</v>
      </c>
      <c r="K137" s="432">
        <f t="shared" si="11"/>
        <v>483.00028482376348</v>
      </c>
    </row>
    <row r="138" spans="1:11" s="432" customFormat="1" ht="17.100000000000001" customHeight="1" x14ac:dyDescent="0.25">
      <c r="A138" s="166">
        <v>15</v>
      </c>
      <c r="B138" s="445" t="s">
        <v>83</v>
      </c>
      <c r="C138" s="196">
        <f>'Office Minor'!C807+'Office Minor'!C664</f>
        <v>155</v>
      </c>
      <c r="D138" s="196">
        <f>'Office Minor'!D807+'Office Minor'!D664</f>
        <v>17561.559999999998</v>
      </c>
      <c r="E138" s="196">
        <f>'Office Minor'!E807+'Office Minor'!E664</f>
        <v>2456119</v>
      </c>
      <c r="F138" s="196">
        <f>'Office Minor'!F807+'Office Minor'!F664</f>
        <v>1158253710.9007456</v>
      </c>
      <c r="G138" s="196">
        <f>'Office Minor'!G807+'Office Minor'!G664</f>
        <v>83624483</v>
      </c>
      <c r="H138" s="196">
        <f>'Office Minor'!H807+'Office Minor'!H664</f>
        <v>271</v>
      </c>
      <c r="K138" s="432">
        <f t="shared" si="11"/>
        <v>471.57882451979958</v>
      </c>
    </row>
    <row r="139" spans="1:11" s="432" customFormat="1" ht="17.100000000000001" customHeight="1" x14ac:dyDescent="0.25">
      <c r="A139" s="1136" t="s">
        <v>50</v>
      </c>
      <c r="B139" s="1137"/>
      <c r="C139" s="259">
        <f>SUM(C124:C138)</f>
        <v>2055</v>
      </c>
      <c r="D139" s="260">
        <f t="shared" ref="D139:H139" si="12">SUM(D124:D138)</f>
        <v>27173.141799999998</v>
      </c>
      <c r="E139" s="260">
        <f t="shared" si="12"/>
        <v>15230569</v>
      </c>
      <c r="F139" s="261">
        <f t="shared" si="12"/>
        <v>8453853133.9007454</v>
      </c>
      <c r="G139" s="261">
        <f>SUM(G124:G138)</f>
        <v>1339029155</v>
      </c>
      <c r="H139" s="259">
        <f t="shared" si="12"/>
        <v>8687</v>
      </c>
      <c r="K139" s="432">
        <f t="shared" si="11"/>
        <v>555.05826039071462</v>
      </c>
    </row>
    <row r="140" spans="1:11" s="432" customFormat="1" ht="17.100000000000001" customHeight="1" x14ac:dyDescent="0.25">
      <c r="A140" s="440"/>
      <c r="B140" s="440"/>
      <c r="C140" s="441"/>
      <c r="D140" s="442"/>
      <c r="E140" s="444"/>
      <c r="F140" s="444"/>
      <c r="G140" s="444"/>
      <c r="H140" s="441"/>
      <c r="K140" s="432" t="e">
        <f t="shared" si="11"/>
        <v>#DIV/0!</v>
      </c>
    </row>
    <row r="141" spans="1:11" s="432" customFormat="1" ht="17.100000000000001" customHeight="1" x14ac:dyDescent="0.25">
      <c r="A141" s="1138" t="s">
        <v>28</v>
      </c>
      <c r="B141" s="1138"/>
      <c r="C141" s="1138"/>
      <c r="D141" s="1138"/>
      <c r="E141" s="1138"/>
      <c r="F141" s="1138"/>
      <c r="G141" s="1138"/>
      <c r="H141" s="1138"/>
      <c r="K141" s="432" t="e">
        <f t="shared" si="11"/>
        <v>#DIV/0!</v>
      </c>
    </row>
    <row r="142" spans="1:11" s="432" customFormat="1" ht="17.100000000000001" customHeight="1" x14ac:dyDescent="0.25">
      <c r="A142" s="1122" t="s">
        <v>2</v>
      </c>
      <c r="B142" s="1124" t="s">
        <v>77</v>
      </c>
      <c r="C142" s="249" t="s">
        <v>4</v>
      </c>
      <c r="D142" s="249" t="s">
        <v>5</v>
      </c>
      <c r="E142" s="249" t="s">
        <v>6</v>
      </c>
      <c r="F142" s="249" t="s">
        <v>7</v>
      </c>
      <c r="G142" s="249" t="s">
        <v>8</v>
      </c>
      <c r="H142" s="249" t="s">
        <v>9</v>
      </c>
      <c r="K142" s="432" t="e">
        <f t="shared" si="11"/>
        <v>#VALUE!</v>
      </c>
    </row>
    <row r="143" spans="1:11" s="432" customFormat="1" ht="17.100000000000001" customHeight="1" x14ac:dyDescent="0.25">
      <c r="A143" s="1123"/>
      <c r="B143" s="1125"/>
      <c r="C143" s="2" t="s">
        <v>10</v>
      </c>
      <c r="D143" s="2" t="s">
        <v>78</v>
      </c>
      <c r="E143" s="2" t="s">
        <v>79</v>
      </c>
      <c r="F143" s="52" t="s">
        <v>80</v>
      </c>
      <c r="G143" s="52" t="s">
        <v>80</v>
      </c>
      <c r="H143" s="2" t="s">
        <v>13</v>
      </c>
      <c r="K143" s="432" t="e">
        <f t="shared" si="11"/>
        <v>#VALUE!</v>
      </c>
    </row>
    <row r="144" spans="1:11" s="432" customFormat="1" ht="17.100000000000001" customHeight="1" x14ac:dyDescent="0.25">
      <c r="A144" s="166">
        <v>1</v>
      </c>
      <c r="B144" s="19" t="s">
        <v>389</v>
      </c>
      <c r="C144" s="198">
        <f>'Office Minor'!C648</f>
        <v>1</v>
      </c>
      <c r="D144" s="198">
        <f>'Office Minor'!D648</f>
        <v>5</v>
      </c>
      <c r="E144" s="198">
        <f>'Office Minor'!E648</f>
        <v>0</v>
      </c>
      <c r="F144" s="198">
        <f>'Office Minor'!F648</f>
        <v>0</v>
      </c>
      <c r="G144" s="198">
        <f>'Office Minor'!G648</f>
        <v>0</v>
      </c>
      <c r="H144" s="198">
        <f>'Office Minor'!H648</f>
        <v>0</v>
      </c>
      <c r="K144" s="432" t="e">
        <f t="shared" si="11"/>
        <v>#DIV/0!</v>
      </c>
    </row>
    <row r="145" spans="1:11" s="432" customFormat="1" ht="17.100000000000001" customHeight="1" x14ac:dyDescent="0.25">
      <c r="A145" s="166">
        <v>2</v>
      </c>
      <c r="B145" s="446" t="s">
        <v>84</v>
      </c>
      <c r="C145" s="213">
        <f>'Office Minor'!C422</f>
        <v>2</v>
      </c>
      <c r="D145" s="213">
        <f>'Office Minor'!D422</f>
        <v>54.987299999999998</v>
      </c>
      <c r="E145" s="213">
        <f>'Office Minor'!E422</f>
        <v>750</v>
      </c>
      <c r="F145" s="213">
        <f>'Office Minor'!F422</f>
        <v>637500</v>
      </c>
      <c r="G145" s="213">
        <f>'Office Minor'!G422</f>
        <v>60000</v>
      </c>
      <c r="H145" s="213">
        <f>'Office Minor'!H422</f>
        <v>40</v>
      </c>
      <c r="K145" s="432">
        <f t="shared" si="11"/>
        <v>850</v>
      </c>
    </row>
    <row r="146" spans="1:11" s="432" customFormat="1" ht="17.100000000000001" customHeight="1" x14ac:dyDescent="0.25">
      <c r="A146" s="1136" t="s">
        <v>50</v>
      </c>
      <c r="B146" s="1137"/>
      <c r="C146" s="259">
        <f>SUM(C144:C145)</f>
        <v>3</v>
      </c>
      <c r="D146" s="260">
        <f t="shared" ref="D146:H146" si="13">SUM(D144:D145)</f>
        <v>59.987299999999998</v>
      </c>
      <c r="E146" s="261">
        <f t="shared" si="13"/>
        <v>750</v>
      </c>
      <c r="F146" s="260">
        <f>SUM(F144:F145)</f>
        <v>637500</v>
      </c>
      <c r="G146" s="259">
        <f t="shared" si="13"/>
        <v>60000</v>
      </c>
      <c r="H146" s="259">
        <f t="shared" si="13"/>
        <v>40</v>
      </c>
      <c r="K146" s="432">
        <f t="shared" si="11"/>
        <v>850</v>
      </c>
    </row>
    <row r="147" spans="1:11" s="432" customFormat="1" ht="17.100000000000001" customHeight="1" x14ac:dyDescent="0.25">
      <c r="A147" s="440"/>
      <c r="B147" s="440"/>
      <c r="C147" s="441"/>
      <c r="D147" s="442"/>
      <c r="E147" s="444"/>
      <c r="F147" s="443"/>
      <c r="G147" s="444"/>
      <c r="H147" s="441"/>
      <c r="K147" s="432" t="e">
        <f t="shared" si="11"/>
        <v>#DIV/0!</v>
      </c>
    </row>
    <row r="148" spans="1:11" s="432" customFormat="1" ht="17.100000000000001" customHeight="1" x14ac:dyDescent="0.25">
      <c r="A148" s="1149" t="s">
        <v>470</v>
      </c>
      <c r="B148" s="1149"/>
      <c r="C148" s="1149"/>
      <c r="D148" s="1149"/>
      <c r="E148" s="1149"/>
      <c r="F148" s="1149"/>
      <c r="G148" s="1149"/>
      <c r="H148" s="1149"/>
      <c r="K148" s="432" t="e">
        <f t="shared" si="11"/>
        <v>#DIV/0!</v>
      </c>
    </row>
    <row r="149" spans="1:11" s="432" customFormat="1" ht="17.100000000000001" customHeight="1" x14ac:dyDescent="0.25">
      <c r="A149" s="1122" t="s">
        <v>2</v>
      </c>
      <c r="B149" s="1124" t="s">
        <v>77</v>
      </c>
      <c r="C149" s="249" t="s">
        <v>4</v>
      </c>
      <c r="D149" s="249" t="s">
        <v>5</v>
      </c>
      <c r="E149" s="249" t="s">
        <v>6</v>
      </c>
      <c r="F149" s="249" t="s">
        <v>7</v>
      </c>
      <c r="G149" s="249" t="s">
        <v>8</v>
      </c>
      <c r="H149" s="249" t="s">
        <v>9</v>
      </c>
      <c r="K149" s="432" t="e">
        <f t="shared" si="11"/>
        <v>#VALUE!</v>
      </c>
    </row>
    <row r="150" spans="1:11" s="432" customFormat="1" ht="17.100000000000001" customHeight="1" x14ac:dyDescent="0.25">
      <c r="A150" s="1123"/>
      <c r="B150" s="1125"/>
      <c r="C150" s="2" t="s">
        <v>10</v>
      </c>
      <c r="D150" s="2" t="s">
        <v>52</v>
      </c>
      <c r="E150" s="2" t="s">
        <v>79</v>
      </c>
      <c r="F150" s="234" t="s">
        <v>80</v>
      </c>
      <c r="G150" s="234" t="s">
        <v>80</v>
      </c>
      <c r="H150" s="2" t="s">
        <v>13</v>
      </c>
      <c r="K150" s="432" t="e">
        <f t="shared" si="11"/>
        <v>#VALUE!</v>
      </c>
    </row>
    <row r="151" spans="1:11" s="432" customFormat="1" ht="17.100000000000001" customHeight="1" x14ac:dyDescent="0.25">
      <c r="A151" s="166">
        <v>1</v>
      </c>
      <c r="B151" s="433" t="s">
        <v>81</v>
      </c>
      <c r="C151" s="137">
        <f>'Office Minor'!C173</f>
        <v>1</v>
      </c>
      <c r="D151" s="137">
        <f>'Office Minor'!D173</f>
        <v>1</v>
      </c>
      <c r="E151" s="137">
        <f>'Office Minor'!E173</f>
        <v>0</v>
      </c>
      <c r="F151" s="137">
        <f>'Office Minor'!F173</f>
        <v>0</v>
      </c>
      <c r="G151" s="137">
        <f>'Office Minor'!G173</f>
        <v>0</v>
      </c>
      <c r="H151" s="137">
        <f>'Office Minor'!H173</f>
        <v>0</v>
      </c>
      <c r="K151" s="432" t="e">
        <f t="shared" si="11"/>
        <v>#DIV/0!</v>
      </c>
    </row>
    <row r="152" spans="1:11" s="432" customFormat="1" ht="17.100000000000001" customHeight="1" x14ac:dyDescent="0.25">
      <c r="A152" s="166">
        <v>2</v>
      </c>
      <c r="B152" s="433" t="s">
        <v>151</v>
      </c>
      <c r="C152" s="137">
        <f>'Office Minor'!C108</f>
        <v>10</v>
      </c>
      <c r="D152" s="137">
        <f>'Office Minor'!D108</f>
        <v>24.95</v>
      </c>
      <c r="E152" s="137">
        <f>'Office Minor'!E108</f>
        <v>17286</v>
      </c>
      <c r="F152" s="137">
        <f>'Office Minor'!F108</f>
        <v>11236114</v>
      </c>
      <c r="G152" s="137">
        <f>'Office Minor'!G108</f>
        <v>2875723</v>
      </c>
      <c r="H152" s="137">
        <f>'Office Minor'!H108</f>
        <v>30</v>
      </c>
      <c r="K152" s="432">
        <f t="shared" si="11"/>
        <v>650.01237996066186</v>
      </c>
    </row>
    <row r="153" spans="1:11" s="432" customFormat="1" ht="17.100000000000001" customHeight="1" x14ac:dyDescent="0.25">
      <c r="A153" s="166">
        <v>3</v>
      </c>
      <c r="B153" s="433" t="s">
        <v>96</v>
      </c>
      <c r="C153" s="63">
        <f>'Office Minor'!C193</f>
        <v>1</v>
      </c>
      <c r="D153" s="63">
        <f>'Office Minor'!D193</f>
        <v>161.09</v>
      </c>
      <c r="E153" s="63">
        <f>'Office Minor'!E193</f>
        <v>6275</v>
      </c>
      <c r="F153" s="63">
        <f>'Office Minor'!F193</f>
        <v>3451242</v>
      </c>
      <c r="G153" s="63">
        <f>'Office Minor'!G193</f>
        <v>2246230</v>
      </c>
      <c r="H153" s="63">
        <f>'Office Minor'!H193</f>
        <v>6</v>
      </c>
      <c r="K153" s="432">
        <f t="shared" si="11"/>
        <v>549.99872509960164</v>
      </c>
    </row>
    <row r="154" spans="1:11" s="432" customFormat="1" ht="17.100000000000001" customHeight="1" x14ac:dyDescent="0.25">
      <c r="A154" s="166">
        <v>4</v>
      </c>
      <c r="B154" s="433" t="s">
        <v>136</v>
      </c>
      <c r="C154" s="284">
        <f>'Office Minor'!C448</f>
        <v>1</v>
      </c>
      <c r="D154" s="284">
        <f>'Office Minor'!D448</f>
        <v>1.39</v>
      </c>
      <c r="E154" s="284">
        <f>'Office Minor'!E448</f>
        <v>0</v>
      </c>
      <c r="F154" s="284">
        <f>'Office Minor'!F448</f>
        <v>0</v>
      </c>
      <c r="G154" s="284">
        <f>'Office Minor'!G448</f>
        <v>0</v>
      </c>
      <c r="H154" s="284">
        <f>'Office Minor'!H448</f>
        <v>0</v>
      </c>
      <c r="K154" s="432" t="e">
        <f t="shared" si="11"/>
        <v>#DIV/0!</v>
      </c>
    </row>
    <row r="155" spans="1:11" s="432" customFormat="1" ht="17.100000000000001" customHeight="1" x14ac:dyDescent="0.25">
      <c r="A155" s="166">
        <v>5</v>
      </c>
      <c r="B155" s="433" t="s">
        <v>100</v>
      </c>
      <c r="C155" s="63">
        <f>'Office Minor'!C715</f>
        <v>2</v>
      </c>
      <c r="D155" s="63">
        <f>'Office Minor'!D715</f>
        <v>8</v>
      </c>
      <c r="E155" s="63">
        <f>'Office Minor'!E715</f>
        <v>0</v>
      </c>
      <c r="F155" s="63">
        <f>'Office Minor'!F715</f>
        <v>0</v>
      </c>
      <c r="G155" s="63">
        <f>'Office Minor'!G715</f>
        <v>0</v>
      </c>
      <c r="H155" s="63">
        <f>'Office Minor'!H715</f>
        <v>0</v>
      </c>
      <c r="K155" s="432" t="e">
        <f t="shared" si="11"/>
        <v>#DIV/0!</v>
      </c>
    </row>
    <row r="156" spans="1:11" s="432" customFormat="1" ht="17.100000000000001" customHeight="1" x14ac:dyDescent="0.25">
      <c r="A156" s="166">
        <v>6</v>
      </c>
      <c r="B156" s="433" t="s">
        <v>105</v>
      </c>
      <c r="C156" s="63">
        <f>'Office Minor'!C317</f>
        <v>2</v>
      </c>
      <c r="D156" s="63">
        <f>'Office Minor'!D317</f>
        <v>2</v>
      </c>
      <c r="E156" s="63">
        <f>'Office Minor'!E317</f>
        <v>0</v>
      </c>
      <c r="F156" s="63">
        <f>'Office Minor'!F317</f>
        <v>0</v>
      </c>
      <c r="G156" s="63">
        <f>'Office Minor'!G317</f>
        <v>0</v>
      </c>
      <c r="H156" s="63">
        <f>'Office Minor'!H317</f>
        <v>0</v>
      </c>
      <c r="K156" s="432" t="e">
        <f t="shared" si="11"/>
        <v>#DIV/0!</v>
      </c>
    </row>
    <row r="157" spans="1:11" s="432" customFormat="1" ht="17.100000000000001" customHeight="1" x14ac:dyDescent="0.25">
      <c r="A157" s="1136" t="s">
        <v>50</v>
      </c>
      <c r="B157" s="1137"/>
      <c r="C157" s="258">
        <f>SUM(C151:C156)</f>
        <v>17</v>
      </c>
      <c r="D157" s="429">
        <f t="shared" ref="D157:H157" si="14">SUM(D151:D156)</f>
        <v>198.42999999999998</v>
      </c>
      <c r="E157" s="430">
        <f t="shared" si="14"/>
        <v>23561</v>
      </c>
      <c r="F157" s="258">
        <f t="shared" si="14"/>
        <v>14687356</v>
      </c>
      <c r="G157" s="430">
        <f>SUM(G151:G156)</f>
        <v>5121953</v>
      </c>
      <c r="H157" s="430">
        <f t="shared" si="14"/>
        <v>36</v>
      </c>
      <c r="K157" s="432">
        <f t="shared" si="11"/>
        <v>623.37574805823181</v>
      </c>
    </row>
    <row r="158" spans="1:11" s="432" customFormat="1" ht="17.100000000000001" customHeight="1" x14ac:dyDescent="0.25">
      <c r="A158" s="352"/>
      <c r="B158" s="352"/>
      <c r="C158" s="352"/>
      <c r="D158" s="352"/>
      <c r="E158" s="352"/>
      <c r="F158" s="352"/>
      <c r="G158" s="352"/>
      <c r="H158" s="352"/>
      <c r="K158" s="432" t="e">
        <f t="shared" si="11"/>
        <v>#DIV/0!</v>
      </c>
    </row>
    <row r="159" spans="1:11" s="432" customFormat="1" ht="17.100000000000001" customHeight="1" x14ac:dyDescent="0.25">
      <c r="A159" s="352"/>
      <c r="B159" s="352"/>
      <c r="C159" s="352"/>
      <c r="D159" s="352"/>
      <c r="E159" s="352"/>
      <c r="F159" s="352"/>
      <c r="G159" s="352"/>
      <c r="H159" s="352"/>
      <c r="K159" s="432" t="e">
        <f t="shared" si="11"/>
        <v>#DIV/0!</v>
      </c>
    </row>
    <row r="160" spans="1:11" s="432" customFormat="1" ht="17.100000000000001" customHeight="1" x14ac:dyDescent="0.25">
      <c r="A160" s="1149" t="s">
        <v>32</v>
      </c>
      <c r="B160" s="1149"/>
      <c r="C160" s="1149"/>
      <c r="D160" s="1149"/>
      <c r="E160" s="1149"/>
      <c r="F160" s="1149"/>
      <c r="G160" s="1149"/>
      <c r="H160" s="1149"/>
      <c r="K160" s="432" t="e">
        <f t="shared" si="11"/>
        <v>#DIV/0!</v>
      </c>
    </row>
    <row r="161" spans="1:11" s="432" customFormat="1" ht="17.100000000000001" customHeight="1" x14ac:dyDescent="0.25">
      <c r="A161" s="1122" t="s">
        <v>2</v>
      </c>
      <c r="B161" s="1124" t="s">
        <v>77</v>
      </c>
      <c r="C161" s="249" t="s">
        <v>4</v>
      </c>
      <c r="D161" s="249" t="s">
        <v>5</v>
      </c>
      <c r="E161" s="249" t="s">
        <v>6</v>
      </c>
      <c r="F161" s="249" t="s">
        <v>7</v>
      </c>
      <c r="G161" s="249" t="s">
        <v>8</v>
      </c>
      <c r="H161" s="249" t="s">
        <v>9</v>
      </c>
      <c r="K161" s="432" t="e">
        <f t="shared" si="11"/>
        <v>#VALUE!</v>
      </c>
    </row>
    <row r="162" spans="1:11" s="432" customFormat="1" ht="17.100000000000001" customHeight="1" x14ac:dyDescent="0.25">
      <c r="A162" s="1123"/>
      <c r="B162" s="1125"/>
      <c r="C162" s="2" t="s">
        <v>10</v>
      </c>
      <c r="D162" s="2" t="s">
        <v>52</v>
      </c>
      <c r="E162" s="2" t="s">
        <v>79</v>
      </c>
      <c r="F162" s="234" t="s">
        <v>80</v>
      </c>
      <c r="G162" s="234" t="s">
        <v>80</v>
      </c>
      <c r="H162" s="2" t="s">
        <v>13</v>
      </c>
      <c r="K162" s="432" t="e">
        <f t="shared" si="11"/>
        <v>#VALUE!</v>
      </c>
    </row>
    <row r="163" spans="1:11" s="432" customFormat="1" ht="17.100000000000001" customHeight="1" x14ac:dyDescent="0.25">
      <c r="A163" s="166">
        <v>1</v>
      </c>
      <c r="B163" s="214" t="s">
        <v>97</v>
      </c>
      <c r="C163" s="166">
        <f>'Office Minor'!C386</f>
        <v>1</v>
      </c>
      <c r="D163" s="166">
        <f>'Office Minor'!D386</f>
        <v>24.5</v>
      </c>
      <c r="E163" s="166">
        <f>'Office Minor'!E386</f>
        <v>418</v>
      </c>
      <c r="F163" s="166">
        <f>'Office Minor'!F386</f>
        <v>104500</v>
      </c>
      <c r="G163" s="166">
        <f>'Office Minor'!G386</f>
        <v>12563</v>
      </c>
      <c r="H163" s="166">
        <f>'Office Minor'!H386</f>
        <v>4</v>
      </c>
      <c r="K163" s="432">
        <f t="shared" si="11"/>
        <v>250</v>
      </c>
    </row>
    <row r="164" spans="1:11" s="432" customFormat="1" ht="17.100000000000001" customHeight="1" x14ac:dyDescent="0.25">
      <c r="A164" s="12"/>
      <c r="B164" s="12"/>
      <c r="C164" s="12"/>
      <c r="D164" s="12"/>
      <c r="E164" s="12"/>
      <c r="F164" s="12"/>
      <c r="G164" s="12"/>
      <c r="H164" s="12"/>
      <c r="K164" s="432" t="e">
        <f t="shared" si="11"/>
        <v>#DIV/0!</v>
      </c>
    </row>
    <row r="165" spans="1:11" s="432" customFormat="1" ht="17.100000000000001" customHeight="1" x14ac:dyDescent="0.25">
      <c r="A165" s="1136" t="s">
        <v>50</v>
      </c>
      <c r="B165" s="1137"/>
      <c r="C165" s="258">
        <f>SUM(C163:C164)</f>
        <v>1</v>
      </c>
      <c r="D165" s="258">
        <f t="shared" ref="D165:H165" si="15">SUM(D163:D164)</f>
        <v>24.5</v>
      </c>
      <c r="E165" s="258">
        <f t="shared" si="15"/>
        <v>418</v>
      </c>
      <c r="F165" s="258">
        <f t="shared" si="15"/>
        <v>104500</v>
      </c>
      <c r="G165" s="258">
        <f t="shared" si="15"/>
        <v>12563</v>
      </c>
      <c r="H165" s="258">
        <f t="shared" si="15"/>
        <v>4</v>
      </c>
      <c r="K165" s="432">
        <f t="shared" si="11"/>
        <v>250</v>
      </c>
    </row>
    <row r="166" spans="1:11" s="432" customFormat="1" ht="17.100000000000001" customHeight="1" x14ac:dyDescent="0.25">
      <c r="A166" s="352"/>
      <c r="B166" s="352"/>
      <c r="C166" s="352"/>
      <c r="D166" s="352"/>
      <c r="E166" s="352"/>
      <c r="F166" s="352"/>
      <c r="G166" s="352"/>
      <c r="H166" s="352"/>
      <c r="K166" s="432" t="e">
        <f t="shared" si="11"/>
        <v>#DIV/0!</v>
      </c>
    </row>
    <row r="167" spans="1:11" s="432" customFormat="1" ht="17.100000000000001" customHeight="1" x14ac:dyDescent="0.25">
      <c r="A167" s="352"/>
      <c r="B167" s="352"/>
      <c r="C167" s="352"/>
      <c r="D167" s="352"/>
      <c r="E167" s="352"/>
      <c r="F167" s="352"/>
      <c r="G167" s="352"/>
      <c r="H167" s="352"/>
      <c r="K167" s="432" t="e">
        <f t="shared" si="11"/>
        <v>#DIV/0!</v>
      </c>
    </row>
    <row r="168" spans="1:11" s="432" customFormat="1" ht="17.100000000000001" customHeight="1" x14ac:dyDescent="0.25">
      <c r="A168" s="1149" t="s">
        <v>58</v>
      </c>
      <c r="B168" s="1149"/>
      <c r="C168" s="1149"/>
      <c r="D168" s="1149"/>
      <c r="E168" s="1149"/>
      <c r="F168" s="1149"/>
      <c r="G168" s="1149"/>
      <c r="H168" s="1149"/>
      <c r="K168" s="432" t="e">
        <f t="shared" si="11"/>
        <v>#DIV/0!</v>
      </c>
    </row>
    <row r="169" spans="1:11" s="432" customFormat="1" ht="17.100000000000001" customHeight="1" x14ac:dyDescent="0.25">
      <c r="A169" s="1122" t="s">
        <v>2</v>
      </c>
      <c r="B169" s="1124" t="s">
        <v>77</v>
      </c>
      <c r="C169" s="249" t="s">
        <v>4</v>
      </c>
      <c r="D169" s="249" t="s">
        <v>5</v>
      </c>
      <c r="E169" s="249" t="s">
        <v>6</v>
      </c>
      <c r="F169" s="249" t="s">
        <v>7</v>
      </c>
      <c r="G169" s="249" t="s">
        <v>8</v>
      </c>
      <c r="H169" s="249" t="s">
        <v>9</v>
      </c>
      <c r="K169" s="432" t="e">
        <f t="shared" si="11"/>
        <v>#VALUE!</v>
      </c>
    </row>
    <row r="170" spans="1:11" s="432" customFormat="1" ht="17.100000000000001" customHeight="1" x14ac:dyDescent="0.25">
      <c r="A170" s="1123"/>
      <c r="B170" s="1125"/>
      <c r="C170" s="2" t="s">
        <v>10</v>
      </c>
      <c r="D170" s="2" t="s">
        <v>52</v>
      </c>
      <c r="E170" s="2" t="s">
        <v>79</v>
      </c>
      <c r="F170" s="52" t="s">
        <v>80</v>
      </c>
      <c r="G170" s="52" t="s">
        <v>80</v>
      </c>
      <c r="H170" s="2" t="s">
        <v>13</v>
      </c>
      <c r="K170" s="432" t="e">
        <f t="shared" si="11"/>
        <v>#VALUE!</v>
      </c>
    </row>
    <row r="171" spans="1:11" s="432" customFormat="1" ht="17.100000000000001" customHeight="1" x14ac:dyDescent="0.25">
      <c r="A171" s="166">
        <v>1</v>
      </c>
      <c r="B171" s="433" t="s">
        <v>138</v>
      </c>
      <c r="C171" s="213">
        <f>'Office Minor'!C9</f>
        <v>324</v>
      </c>
      <c r="D171" s="213">
        <f>'Office Minor'!D9</f>
        <v>853.69</v>
      </c>
      <c r="E171" s="213">
        <f>'Office Minor'!E9</f>
        <v>1738813</v>
      </c>
      <c r="F171" s="213">
        <f>'Office Minor'!F9</f>
        <v>3738447950</v>
      </c>
      <c r="G171" s="213">
        <f>'Office Minor'!G9</f>
        <v>737673255</v>
      </c>
      <c r="H171" s="213">
        <f>'Office Minor'!H9</f>
        <v>1400</v>
      </c>
      <c r="K171" s="432">
        <f t="shared" si="11"/>
        <v>2150</v>
      </c>
    </row>
    <row r="172" spans="1:11" s="432" customFormat="1" ht="17.100000000000001" customHeight="1" x14ac:dyDescent="0.25">
      <c r="A172" s="166">
        <v>2</v>
      </c>
      <c r="B172" s="433" t="s">
        <v>92</v>
      </c>
      <c r="C172" s="203">
        <f>'Office Minor'!C26</f>
        <v>117</v>
      </c>
      <c r="D172" s="203">
        <f>'Office Minor'!D26</f>
        <v>146.75</v>
      </c>
      <c r="E172" s="203">
        <f>'Office Minor'!E26</f>
        <v>127235</v>
      </c>
      <c r="F172" s="203">
        <f>'Office Minor'!F26</f>
        <v>279916846</v>
      </c>
      <c r="G172" s="203">
        <f>'Office Minor'!G26</f>
        <v>9487719</v>
      </c>
      <c r="H172" s="203">
        <f>'Office Minor'!H26</f>
        <v>400</v>
      </c>
      <c r="K172" s="432">
        <f t="shared" si="11"/>
        <v>2199.9987896412149</v>
      </c>
    </row>
    <row r="173" spans="1:11" s="432" customFormat="1" ht="17.100000000000001" customHeight="1" x14ac:dyDescent="0.25">
      <c r="A173" s="166">
        <v>3</v>
      </c>
      <c r="B173" s="447" t="s">
        <v>191</v>
      </c>
      <c r="C173" s="166">
        <f>'Office Minor'!C124</f>
        <v>56</v>
      </c>
      <c r="D173" s="166">
        <f>'Office Minor'!D124</f>
        <v>98.73</v>
      </c>
      <c r="E173" s="166">
        <f>'Office Minor'!E124</f>
        <v>78706</v>
      </c>
      <c r="F173" s="166">
        <f>'Office Minor'!F124</f>
        <v>169217900</v>
      </c>
      <c r="G173" s="166">
        <f>'Office Minor'!G124</f>
        <v>22819288</v>
      </c>
      <c r="H173" s="166">
        <f>'Office Minor'!H124</f>
        <v>45</v>
      </c>
      <c r="K173" s="432">
        <f t="shared" si="11"/>
        <v>2150</v>
      </c>
    </row>
    <row r="174" spans="1:11" s="432" customFormat="1" ht="17.100000000000001" customHeight="1" x14ac:dyDescent="0.25">
      <c r="A174" s="166">
        <v>4</v>
      </c>
      <c r="B174" s="433" t="s">
        <v>86</v>
      </c>
      <c r="C174" s="137">
        <f>'Office Minor'!C44</f>
        <v>6</v>
      </c>
      <c r="D174" s="137">
        <f>'Office Minor'!D44</f>
        <v>7</v>
      </c>
      <c r="E174" s="137">
        <f>'Office Minor'!E44</f>
        <v>2400</v>
      </c>
      <c r="F174" s="137">
        <f>'Office Minor'!F44</f>
        <v>5041071</v>
      </c>
      <c r="G174" s="137">
        <f>'Office Minor'!G44</f>
        <v>84018</v>
      </c>
      <c r="H174" s="137">
        <f>'Office Minor'!H44</f>
        <v>60</v>
      </c>
      <c r="K174" s="432">
        <f t="shared" si="11"/>
        <v>2100.44625</v>
      </c>
    </row>
    <row r="175" spans="1:11" s="432" customFormat="1" ht="17.100000000000001" customHeight="1" x14ac:dyDescent="0.25">
      <c r="A175" s="166">
        <v>5</v>
      </c>
      <c r="B175" s="433" t="s">
        <v>101</v>
      </c>
      <c r="C175" s="137">
        <f>'Office Minor'!C104</f>
        <v>61</v>
      </c>
      <c r="D175" s="137">
        <f>'Office Minor'!D104</f>
        <v>151.66999999999999</v>
      </c>
      <c r="E175" s="137">
        <f>'Office Minor'!E104</f>
        <v>106840</v>
      </c>
      <c r="F175" s="137">
        <f>'Office Minor'!F104</f>
        <v>229707634</v>
      </c>
      <c r="G175" s="137">
        <f>'Office Minor'!G104</f>
        <v>66962590</v>
      </c>
      <c r="H175" s="137">
        <f>'Office Minor'!H104</f>
        <v>875</v>
      </c>
      <c r="K175" s="432">
        <f t="shared" si="11"/>
        <v>2150.0152938974165</v>
      </c>
    </row>
    <row r="176" spans="1:11" s="432" customFormat="1" ht="17.100000000000001" customHeight="1" x14ac:dyDescent="0.25">
      <c r="A176" s="166">
        <v>6</v>
      </c>
      <c r="B176" s="433" t="s">
        <v>81</v>
      </c>
      <c r="C176" s="137">
        <f>'Office Minor'!C169</f>
        <v>403</v>
      </c>
      <c r="D176" s="137">
        <f>'Office Minor'!D169</f>
        <v>942.59</v>
      </c>
      <c r="E176" s="137">
        <f>'Office Minor'!E169</f>
        <v>2028350</v>
      </c>
      <c r="F176" s="137">
        <f>'Office Minor'!F169</f>
        <v>4259535000</v>
      </c>
      <c r="G176" s="137">
        <f>'Office Minor'!G169</f>
        <v>450401261</v>
      </c>
      <c r="H176" s="137">
        <f>'Office Minor'!H169</f>
        <v>985</v>
      </c>
      <c r="K176" s="432">
        <f t="shared" si="11"/>
        <v>2100</v>
      </c>
    </row>
    <row r="177" spans="1:11" s="432" customFormat="1" ht="17.100000000000001" customHeight="1" x14ac:dyDescent="0.25">
      <c r="A177" s="166">
        <v>7</v>
      </c>
      <c r="B177" s="433" t="s">
        <v>406</v>
      </c>
      <c r="C177" s="137">
        <f>'Office Minor'!C250</f>
        <v>4</v>
      </c>
      <c r="D177" s="137">
        <f>'Office Minor'!D250</f>
        <v>8.57</v>
      </c>
      <c r="E177" s="137">
        <f>'Office Minor'!E250</f>
        <v>1827.4193548387098</v>
      </c>
      <c r="F177" s="137">
        <f>'Office Minor'!F250</f>
        <v>3928951.6129032262</v>
      </c>
      <c r="G177" s="137">
        <f>'Office Minor'!G250</f>
        <v>566500</v>
      </c>
      <c r="H177" s="137">
        <f>'Office Minor'!H250</f>
        <v>35</v>
      </c>
      <c r="K177" s="432">
        <f t="shared" si="11"/>
        <v>2150</v>
      </c>
    </row>
    <row r="178" spans="1:11" s="432" customFormat="1" ht="17.100000000000001" customHeight="1" x14ac:dyDescent="0.25">
      <c r="A178" s="166">
        <v>8</v>
      </c>
      <c r="B178" s="433" t="s">
        <v>620</v>
      </c>
      <c r="C178" s="137">
        <f>'Office Minor'!C322</f>
        <v>23</v>
      </c>
      <c r="D178" s="137">
        <f>'Office Minor'!D322</f>
        <v>37.18</v>
      </c>
      <c r="E178" s="137">
        <f>'Office Minor'!E322</f>
        <v>8605</v>
      </c>
      <c r="F178" s="137">
        <f>'Office Minor'!F322</f>
        <v>18071144</v>
      </c>
      <c r="G178" s="137">
        <f>'Office Minor'!G322</f>
        <v>6165449</v>
      </c>
      <c r="H178" s="137">
        <f>'Office Minor'!H322</f>
        <v>45</v>
      </c>
      <c r="K178" s="432">
        <f t="shared" si="11"/>
        <v>2100.0748402091808</v>
      </c>
    </row>
    <row r="179" spans="1:11" s="432" customFormat="1" ht="17.100000000000001" customHeight="1" x14ac:dyDescent="0.25">
      <c r="A179" s="166">
        <v>9</v>
      </c>
      <c r="B179" s="433" t="s">
        <v>154</v>
      </c>
      <c r="C179" s="166">
        <f>'Office Minor'!C340</f>
        <v>87</v>
      </c>
      <c r="D179" s="166">
        <f>'Office Minor'!D340</f>
        <v>236.17</v>
      </c>
      <c r="E179" s="166">
        <f>'Office Minor'!E340</f>
        <v>106415.14</v>
      </c>
      <c r="F179" s="166">
        <f>'Office Minor'!F340</f>
        <v>228792551</v>
      </c>
      <c r="G179" s="166">
        <f>'Office Minor'!G340</f>
        <v>46690590</v>
      </c>
      <c r="H179" s="166">
        <f>'Office Minor'!H340</f>
        <v>490</v>
      </c>
      <c r="K179" s="432">
        <f t="shared" si="11"/>
        <v>2150</v>
      </c>
    </row>
    <row r="180" spans="1:11" s="432" customFormat="1" ht="17.100000000000001" customHeight="1" x14ac:dyDescent="0.25">
      <c r="A180" s="166">
        <v>10</v>
      </c>
      <c r="B180" s="433" t="s">
        <v>87</v>
      </c>
      <c r="C180" s="137">
        <f>'Office Minor'!C364</f>
        <v>31</v>
      </c>
      <c r="D180" s="137">
        <f>'Office Minor'!D364</f>
        <v>53.56</v>
      </c>
      <c r="E180" s="137">
        <f>'Office Minor'!E364</f>
        <v>205478</v>
      </c>
      <c r="F180" s="137">
        <f>'Office Minor'!F364</f>
        <v>431503800</v>
      </c>
      <c r="G180" s="137">
        <f>'Office Minor'!G364</f>
        <v>53077591</v>
      </c>
      <c r="H180" s="137">
        <f>'Office Minor'!H364</f>
        <v>85</v>
      </c>
      <c r="K180" s="432">
        <f t="shared" si="11"/>
        <v>2100</v>
      </c>
    </row>
    <row r="181" spans="1:11" s="432" customFormat="1" ht="17.100000000000001" customHeight="1" x14ac:dyDescent="0.25">
      <c r="A181" s="166">
        <v>11</v>
      </c>
      <c r="B181" s="433" t="s">
        <v>97</v>
      </c>
      <c r="C181" s="63">
        <f>'Office Minor'!C382</f>
        <v>352</v>
      </c>
      <c r="D181" s="63">
        <f>'Office Minor'!D382</f>
        <v>757.17700000000002</v>
      </c>
      <c r="E181" s="63">
        <f>'Office Minor'!E382</f>
        <v>925819.37</v>
      </c>
      <c r="F181" s="63">
        <f>'Office Minor'!F382</f>
        <v>1990511646</v>
      </c>
      <c r="G181" s="63">
        <f>'Office Minor'!G382</f>
        <v>268487545</v>
      </c>
      <c r="H181" s="63">
        <f>'Office Minor'!H382</f>
        <v>2272</v>
      </c>
      <c r="K181" s="432">
        <f t="shared" si="11"/>
        <v>2150.000000540062</v>
      </c>
    </row>
    <row r="182" spans="1:11" s="432" customFormat="1" ht="17.100000000000001" customHeight="1" x14ac:dyDescent="0.25">
      <c r="A182" s="166">
        <v>12</v>
      </c>
      <c r="B182" s="433" t="s">
        <v>84</v>
      </c>
      <c r="C182" s="143">
        <f>'Office Minor'!C413</f>
        <v>26</v>
      </c>
      <c r="D182" s="143">
        <f>'Office Minor'!D413</f>
        <v>100.483</v>
      </c>
      <c r="E182" s="143">
        <f>'Office Minor'!E413</f>
        <v>205770</v>
      </c>
      <c r="F182" s="143">
        <f>'Office Minor'!F413</f>
        <v>442405500</v>
      </c>
      <c r="G182" s="143">
        <f>'Office Minor'!G413</f>
        <v>7202000</v>
      </c>
      <c r="H182" s="143">
        <f>'Office Minor'!H413</f>
        <v>68</v>
      </c>
      <c r="K182" s="432">
        <f t="shared" si="11"/>
        <v>2150</v>
      </c>
    </row>
    <row r="183" spans="1:11" s="432" customFormat="1" ht="17.100000000000001" customHeight="1" x14ac:dyDescent="0.25">
      <c r="A183" s="166">
        <v>13</v>
      </c>
      <c r="B183" s="433" t="s">
        <v>118</v>
      </c>
      <c r="C183" s="63">
        <f>'Office Minor'!C432</f>
        <v>20</v>
      </c>
      <c r="D183" s="63">
        <f>'Office Minor'!D432</f>
        <v>36.71</v>
      </c>
      <c r="E183" s="63">
        <f>'Office Minor'!E432</f>
        <v>9606</v>
      </c>
      <c r="F183" s="63">
        <f>'Office Minor'!F432</f>
        <v>20654082</v>
      </c>
      <c r="G183" s="63">
        <f>'Office Minor'!G432</f>
        <v>4667000</v>
      </c>
      <c r="H183" s="63">
        <f>'Office Minor'!H432</f>
        <v>24</v>
      </c>
      <c r="K183" s="432">
        <f t="shared" si="11"/>
        <v>2150.1230480949407</v>
      </c>
    </row>
    <row r="184" spans="1:11" s="432" customFormat="1" ht="17.100000000000001" customHeight="1" x14ac:dyDescent="0.25">
      <c r="A184" s="166">
        <v>14</v>
      </c>
      <c r="B184" s="433" t="s">
        <v>136</v>
      </c>
      <c r="C184" s="137">
        <f>'Office Minor'!C449</f>
        <v>1</v>
      </c>
      <c r="D184" s="137">
        <f>'Office Minor'!D449</f>
        <v>1</v>
      </c>
      <c r="E184" s="137">
        <f>'Office Minor'!E449</f>
        <v>0</v>
      </c>
      <c r="F184" s="137">
        <f>'Office Minor'!F449</f>
        <v>0</v>
      </c>
      <c r="G184" s="137">
        <f>'Office Minor'!G449</f>
        <v>0</v>
      </c>
      <c r="H184" s="137">
        <f>'Office Minor'!H449</f>
        <v>0</v>
      </c>
      <c r="K184" s="432" t="e">
        <f t="shared" si="11"/>
        <v>#DIV/0!</v>
      </c>
    </row>
    <row r="185" spans="1:11" s="432" customFormat="1" ht="17.100000000000001" customHeight="1" x14ac:dyDescent="0.25">
      <c r="A185" s="166">
        <v>15</v>
      </c>
      <c r="B185" s="433" t="s">
        <v>89</v>
      </c>
      <c r="C185" s="166">
        <f>'Office Minor'!C530</f>
        <v>1</v>
      </c>
      <c r="D185" s="166">
        <f>'Office Minor'!D530</f>
        <v>1</v>
      </c>
      <c r="E185" s="166">
        <f>'Office Minor'!E530</f>
        <v>2053.2199999999998</v>
      </c>
      <c r="F185" s="166">
        <f>'Office Minor'!F530</f>
        <v>4414423</v>
      </c>
      <c r="G185" s="166">
        <f>'Office Minor'!G530</f>
        <v>72177</v>
      </c>
      <c r="H185" s="166">
        <f>'Office Minor'!H530</f>
        <v>25</v>
      </c>
      <c r="K185" s="432">
        <f t="shared" si="11"/>
        <v>2150</v>
      </c>
    </row>
    <row r="186" spans="1:11" s="432" customFormat="1" ht="17.100000000000001" customHeight="1" x14ac:dyDescent="0.25">
      <c r="A186" s="166">
        <v>16</v>
      </c>
      <c r="B186" s="433" t="s">
        <v>108</v>
      </c>
      <c r="C186" s="166">
        <f>'Office Minor'!C552</f>
        <v>1</v>
      </c>
      <c r="D186" s="166">
        <f>'Office Minor'!D552</f>
        <v>3</v>
      </c>
      <c r="E186" s="166">
        <f>'Office Minor'!E552</f>
        <v>0</v>
      </c>
      <c r="F186" s="166">
        <f>'Office Minor'!F552</f>
        <v>0</v>
      </c>
      <c r="G186" s="166">
        <f>'Office Minor'!G552</f>
        <v>0</v>
      </c>
      <c r="H186" s="166">
        <f>'Office Minor'!H552</f>
        <v>0</v>
      </c>
      <c r="K186" s="432" t="e">
        <f t="shared" si="11"/>
        <v>#DIV/0!</v>
      </c>
    </row>
    <row r="187" spans="1:11" s="432" customFormat="1" ht="17.100000000000001" customHeight="1" x14ac:dyDescent="0.25">
      <c r="A187" s="166">
        <v>17</v>
      </c>
      <c r="B187" s="433" t="s">
        <v>124</v>
      </c>
      <c r="C187" s="166">
        <f>'Office Minor'!C503</f>
        <v>1</v>
      </c>
      <c r="D187" s="166">
        <f>'Office Minor'!D503</f>
        <v>1</v>
      </c>
      <c r="E187" s="166">
        <f>'Office Minor'!E503</f>
        <v>0</v>
      </c>
      <c r="F187" s="166">
        <f>'Office Minor'!F503</f>
        <v>0</v>
      </c>
      <c r="G187" s="166">
        <f>'Office Minor'!G503</f>
        <v>0</v>
      </c>
      <c r="H187" s="166">
        <f>'Office Minor'!H503</f>
        <v>0</v>
      </c>
      <c r="K187" s="432" t="e">
        <f t="shared" si="11"/>
        <v>#DIV/0!</v>
      </c>
    </row>
    <row r="188" spans="1:11" s="432" customFormat="1" ht="17.100000000000001" customHeight="1" x14ac:dyDescent="0.25">
      <c r="A188" s="166">
        <v>18</v>
      </c>
      <c r="B188" s="433" t="s">
        <v>98</v>
      </c>
      <c r="C188" s="166">
        <f>'Office Minor'!C588</f>
        <v>14</v>
      </c>
      <c r="D188" s="166">
        <f>'Office Minor'!D588</f>
        <v>27.11</v>
      </c>
      <c r="E188" s="166">
        <f>'Office Minor'!E588</f>
        <v>5188</v>
      </c>
      <c r="F188" s="166">
        <f>'Office Minor'!F588</f>
        <v>11154071</v>
      </c>
      <c r="G188" s="166">
        <f>'Office Minor'!G588</f>
        <v>2195000</v>
      </c>
      <c r="H188" s="166">
        <f>'Office Minor'!H588</f>
        <v>115</v>
      </c>
      <c r="K188" s="432">
        <f t="shared" si="11"/>
        <v>2149.975134926754</v>
      </c>
    </row>
    <row r="189" spans="1:11" s="432" customFormat="1" ht="17.100000000000001" customHeight="1" x14ac:dyDescent="0.25">
      <c r="A189" s="166">
        <v>19</v>
      </c>
      <c r="B189" s="433" t="s">
        <v>90</v>
      </c>
      <c r="C189" s="137">
        <f>'Office Minor'!C602</f>
        <v>45</v>
      </c>
      <c r="D189" s="137">
        <f>'Office Minor'!D602</f>
        <v>89.77</v>
      </c>
      <c r="E189" s="137">
        <f>'Office Minor'!E602</f>
        <v>221914</v>
      </c>
      <c r="F189" s="137">
        <f>'Office Minor'!F602</f>
        <v>477115100</v>
      </c>
      <c r="G189" s="137">
        <f>'Office Minor'!G602</f>
        <v>65399000</v>
      </c>
      <c r="H189" s="137">
        <f>'Office Minor'!H602</f>
        <v>207</v>
      </c>
      <c r="K189" s="432">
        <f t="shared" si="11"/>
        <v>2150</v>
      </c>
    </row>
    <row r="190" spans="1:11" s="432" customFormat="1" ht="17.100000000000001" customHeight="1" x14ac:dyDescent="0.25">
      <c r="A190" s="166">
        <v>20</v>
      </c>
      <c r="B190" s="214" t="s">
        <v>376</v>
      </c>
      <c r="C190" s="137">
        <f>'Office Minor'!C692</f>
        <v>237</v>
      </c>
      <c r="D190" s="137">
        <f>'Office Minor'!D692</f>
        <v>322.24</v>
      </c>
      <c r="E190" s="137">
        <f>'Office Minor'!E692</f>
        <v>1720210</v>
      </c>
      <c r="F190" s="137">
        <f>'Office Minor'!F692</f>
        <v>3698451500</v>
      </c>
      <c r="G190" s="137">
        <f>'Office Minor'!G692</f>
        <v>498860900</v>
      </c>
      <c r="H190" s="137">
        <f>'Office Minor'!H692</f>
        <v>2800</v>
      </c>
      <c r="K190" s="432">
        <f t="shared" si="11"/>
        <v>2150</v>
      </c>
    </row>
    <row r="191" spans="1:11" s="432" customFormat="1" ht="17.100000000000001" customHeight="1" x14ac:dyDescent="0.25">
      <c r="A191" s="166">
        <v>21</v>
      </c>
      <c r="B191" s="433" t="s">
        <v>100</v>
      </c>
      <c r="C191" s="166">
        <f>'Office Minor'!C709</f>
        <v>1</v>
      </c>
      <c r="D191" s="166">
        <f>'Office Minor'!D709</f>
        <v>1.88</v>
      </c>
      <c r="E191" s="166">
        <f>'Office Minor'!E709</f>
        <v>0</v>
      </c>
      <c r="F191" s="166">
        <f>'Office Minor'!F709</f>
        <v>0</v>
      </c>
      <c r="G191" s="166">
        <f>'Office Minor'!G709</f>
        <v>0</v>
      </c>
      <c r="H191" s="166">
        <f>'Office Minor'!H709</f>
        <v>0</v>
      </c>
      <c r="K191" s="432" t="e">
        <f t="shared" si="11"/>
        <v>#DIV/0!</v>
      </c>
    </row>
    <row r="192" spans="1:11" s="432" customFormat="1" ht="17.100000000000001" customHeight="1" x14ac:dyDescent="0.25">
      <c r="A192" s="166">
        <v>22</v>
      </c>
      <c r="B192" s="433" t="s">
        <v>91</v>
      </c>
      <c r="C192" s="204">
        <f>'Office Minor'!C731</f>
        <v>186</v>
      </c>
      <c r="D192" s="204">
        <f>'Office Minor'!D731</f>
        <v>343.71</v>
      </c>
      <c r="E192" s="204">
        <f>'Office Minor'!E731</f>
        <v>786468</v>
      </c>
      <c r="F192" s="204">
        <f>'Office Minor'!F731</f>
        <v>1651584165</v>
      </c>
      <c r="G192" s="204">
        <f>'Office Minor'!G731</f>
        <v>306961889</v>
      </c>
      <c r="H192" s="204">
        <f>'Office Minor'!H731</f>
        <v>1580</v>
      </c>
      <c r="K192" s="432">
        <f t="shared" si="11"/>
        <v>2100.001735607806</v>
      </c>
    </row>
    <row r="193" spans="1:11" s="432" customFormat="1" ht="17.100000000000001" customHeight="1" x14ac:dyDescent="0.25">
      <c r="A193" s="166">
        <v>23</v>
      </c>
      <c r="B193" s="433" t="s">
        <v>139</v>
      </c>
      <c r="C193" s="144">
        <f>'Office Minor'!C750</f>
        <v>277</v>
      </c>
      <c r="D193" s="144">
        <f>'Office Minor'!D750</f>
        <v>605.97</v>
      </c>
      <c r="E193" s="144">
        <f>'Office Minor'!E750</f>
        <v>1554441</v>
      </c>
      <c r="F193" s="144">
        <f>'Office Minor'!F750</f>
        <v>3342049440</v>
      </c>
      <c r="G193" s="144">
        <f>'Office Minor'!G750</f>
        <v>452605574</v>
      </c>
      <c r="H193" s="144">
        <f>'Office Minor'!H750</f>
        <v>830</v>
      </c>
      <c r="K193" s="432">
        <f t="shared" si="11"/>
        <v>2150.0008298803236</v>
      </c>
    </row>
    <row r="194" spans="1:11" s="432" customFormat="1" ht="17.100000000000001" customHeight="1" x14ac:dyDescent="0.25">
      <c r="A194" s="166">
        <v>24</v>
      </c>
      <c r="B194" s="433" t="s">
        <v>116</v>
      </c>
      <c r="C194" s="137">
        <f>'Office Minor'!C778</f>
        <v>136</v>
      </c>
      <c r="D194" s="137">
        <f>'Office Minor'!D778</f>
        <v>204.27</v>
      </c>
      <c r="E194" s="137">
        <f>'Office Minor'!E778</f>
        <v>1032889</v>
      </c>
      <c r="F194" s="137">
        <f>'Office Minor'!F778</f>
        <v>2220711350</v>
      </c>
      <c r="G194" s="137">
        <f>'Office Minor'!G778</f>
        <v>320195590</v>
      </c>
      <c r="H194" s="137">
        <f>'Office Minor'!H778</f>
        <v>1500</v>
      </c>
      <c r="K194" s="432">
        <f t="shared" si="11"/>
        <v>2150</v>
      </c>
    </row>
    <row r="195" spans="1:11" s="432" customFormat="1" ht="17.100000000000001" customHeight="1" x14ac:dyDescent="0.25">
      <c r="A195" s="166">
        <v>25</v>
      </c>
      <c r="B195" s="433" t="s">
        <v>83</v>
      </c>
      <c r="C195" s="137">
        <f>'Office Minor'!C794</f>
        <v>9</v>
      </c>
      <c r="D195" s="137">
        <f>'Office Minor'!D794</f>
        <v>22.65</v>
      </c>
      <c r="E195" s="137">
        <f>'Office Minor'!E794</f>
        <v>6492</v>
      </c>
      <c r="F195" s="137">
        <f>'Office Minor'!F794</f>
        <v>13308600</v>
      </c>
      <c r="G195" s="137">
        <f>'Office Minor'!G794</f>
        <v>1703420</v>
      </c>
      <c r="H195" s="137">
        <f>'Office Minor'!H794</f>
        <v>33</v>
      </c>
      <c r="K195" s="432">
        <f t="shared" si="11"/>
        <v>2050</v>
      </c>
    </row>
    <row r="196" spans="1:11" s="432" customFormat="1" ht="17.100000000000001" customHeight="1" x14ac:dyDescent="0.25">
      <c r="A196" s="166">
        <v>26</v>
      </c>
      <c r="B196" s="433" t="s">
        <v>99</v>
      </c>
      <c r="C196" s="137">
        <f>'Office Minor'!C665</f>
        <v>1</v>
      </c>
      <c r="D196" s="137">
        <f>'Office Minor'!D665</f>
        <v>2.2999999999999998</v>
      </c>
      <c r="E196" s="137">
        <f>'Office Minor'!E665</f>
        <v>30215</v>
      </c>
      <c r="F196" s="137">
        <f>'Office Minor'!F665</f>
        <v>64962250</v>
      </c>
      <c r="G196" s="137">
        <f>'Office Minor'!G665</f>
        <v>8611275</v>
      </c>
      <c r="H196" s="137">
        <f>'Office Minor'!H665</f>
        <v>20</v>
      </c>
      <c r="K196" s="432">
        <f t="shared" si="11"/>
        <v>2150</v>
      </c>
    </row>
    <row r="197" spans="1:11" s="432" customFormat="1" ht="17.100000000000001" customHeight="1" x14ac:dyDescent="0.25">
      <c r="A197" s="166">
        <v>27</v>
      </c>
      <c r="B197" s="433" t="s">
        <v>150</v>
      </c>
      <c r="C197" s="137">
        <f>'Office Minor'!C82</f>
        <v>1</v>
      </c>
      <c r="D197" s="137">
        <f>'Office Minor'!D82</f>
        <v>1.55</v>
      </c>
      <c r="E197" s="137">
        <f>'Office Minor'!E82</f>
        <v>389.44</v>
      </c>
      <c r="F197" s="137">
        <f>'Office Minor'!F82</f>
        <v>817824</v>
      </c>
      <c r="G197" s="137">
        <f>'Office Minor'!G82</f>
        <v>82419</v>
      </c>
      <c r="H197" s="137">
        <f>'Office Minor'!H82</f>
        <v>10</v>
      </c>
      <c r="K197" s="432">
        <f t="shared" si="11"/>
        <v>2100</v>
      </c>
    </row>
    <row r="198" spans="1:11" s="432" customFormat="1" ht="17.100000000000001" customHeight="1" x14ac:dyDescent="0.25">
      <c r="A198" s="166">
        <v>28</v>
      </c>
      <c r="B198" s="214" t="s">
        <v>125</v>
      </c>
      <c r="C198" s="166">
        <f>'Office Minor'!C681</f>
        <v>1</v>
      </c>
      <c r="D198" s="166">
        <f>'Office Minor'!D681</f>
        <v>1.04</v>
      </c>
      <c r="E198" s="166">
        <f>'Office Minor'!E681</f>
        <v>291</v>
      </c>
      <c r="F198" s="166">
        <f>'Office Minor'!F681</f>
        <v>626209</v>
      </c>
      <c r="G198" s="166">
        <f>'Office Minor'!G681</f>
        <v>84465</v>
      </c>
      <c r="H198" s="166">
        <f>'Office Minor'!H681</f>
        <v>25</v>
      </c>
      <c r="K198" s="432">
        <f t="shared" si="11"/>
        <v>2151.9209621993127</v>
      </c>
    </row>
    <row r="199" spans="1:11" s="432" customFormat="1" ht="17.100000000000001" customHeight="1" x14ac:dyDescent="0.25">
      <c r="A199" s="1136" t="s">
        <v>50</v>
      </c>
      <c r="B199" s="1137"/>
      <c r="C199" s="258">
        <f>SUM(C171:C198)</f>
        <v>2422</v>
      </c>
      <c r="D199" s="258">
        <f t="shared" ref="D199:H199" si="16">SUM(D171:D198)</f>
        <v>5058.7700000000013</v>
      </c>
      <c r="E199" s="258">
        <f t="shared" si="16"/>
        <v>10906415.589354837</v>
      </c>
      <c r="F199" s="258">
        <f t="shared" si="16"/>
        <v>23302929007.612904</v>
      </c>
      <c r="G199" s="258">
        <f t="shared" si="16"/>
        <v>3331056515</v>
      </c>
      <c r="H199" s="258">
        <f t="shared" si="16"/>
        <v>13929</v>
      </c>
      <c r="K199" s="432">
        <f t="shared" si="11"/>
        <v>2136.6258067735503</v>
      </c>
    </row>
    <row r="200" spans="1:11" s="432" customFormat="1" ht="17.100000000000001" customHeight="1" x14ac:dyDescent="0.25">
      <c r="A200" s="448"/>
      <c r="B200" s="448"/>
      <c r="C200" s="448"/>
      <c r="D200" s="449"/>
      <c r="E200" s="450"/>
      <c r="F200" s="448"/>
      <c r="G200" s="450"/>
      <c r="H200" s="450"/>
      <c r="K200" s="432" t="e">
        <f t="shared" ref="K200:K263" si="17">F200/E200</f>
        <v>#DIV/0!</v>
      </c>
    </row>
    <row r="201" spans="1:11" s="432" customFormat="1" ht="17.100000000000001" customHeight="1" x14ac:dyDescent="0.25">
      <c r="A201" s="1138" t="s">
        <v>31</v>
      </c>
      <c r="B201" s="1138"/>
      <c r="C201" s="1138"/>
      <c r="D201" s="1138"/>
      <c r="E201" s="1138"/>
      <c r="F201" s="1138"/>
      <c r="G201" s="1138"/>
      <c r="H201" s="1138"/>
      <c r="K201" s="432" t="e">
        <f t="shared" si="17"/>
        <v>#DIV/0!</v>
      </c>
    </row>
    <row r="202" spans="1:11" s="432" customFormat="1" ht="17.100000000000001" customHeight="1" x14ac:dyDescent="0.25">
      <c r="A202" s="1122" t="s">
        <v>2</v>
      </c>
      <c r="B202" s="1124" t="s">
        <v>77</v>
      </c>
      <c r="C202" s="249" t="s">
        <v>4</v>
      </c>
      <c r="D202" s="249" t="s">
        <v>5</v>
      </c>
      <c r="E202" s="249" t="s">
        <v>6</v>
      </c>
      <c r="F202" s="249" t="s">
        <v>7</v>
      </c>
      <c r="G202" s="249" t="s">
        <v>8</v>
      </c>
      <c r="H202" s="249" t="s">
        <v>9</v>
      </c>
      <c r="K202" s="432" t="e">
        <f t="shared" si="17"/>
        <v>#VALUE!</v>
      </c>
    </row>
    <row r="203" spans="1:11" s="432" customFormat="1" ht="17.100000000000001" customHeight="1" x14ac:dyDescent="0.25">
      <c r="A203" s="1123"/>
      <c r="B203" s="1125"/>
      <c r="C203" s="2" t="s">
        <v>10</v>
      </c>
      <c r="D203" s="2" t="s">
        <v>78</v>
      </c>
      <c r="E203" s="2" t="s">
        <v>79</v>
      </c>
      <c r="F203" s="52" t="s">
        <v>80</v>
      </c>
      <c r="G203" s="52" t="s">
        <v>80</v>
      </c>
      <c r="H203" s="2" t="s">
        <v>13</v>
      </c>
      <c r="K203" s="432" t="e">
        <f t="shared" si="17"/>
        <v>#VALUE!</v>
      </c>
    </row>
    <row r="204" spans="1:11" s="432" customFormat="1" ht="17.100000000000001" customHeight="1" x14ac:dyDescent="0.25">
      <c r="A204" s="166">
        <v>1</v>
      </c>
      <c r="B204" s="214" t="s">
        <v>151</v>
      </c>
      <c r="C204" s="166">
        <f>'Office Minor'!C111</f>
        <v>2</v>
      </c>
      <c r="D204" s="166">
        <f>'Office Minor'!D111</f>
        <v>340.68</v>
      </c>
      <c r="E204" s="166">
        <f>'Office Minor'!E111</f>
        <v>923446</v>
      </c>
      <c r="F204" s="166">
        <f>'Office Minor'!F111</f>
        <v>629584590</v>
      </c>
      <c r="G204" s="166">
        <f>'Office Minor'!G111</f>
        <v>166149943</v>
      </c>
      <c r="H204" s="166">
        <f>'Office Minor'!H111</f>
        <v>330</v>
      </c>
      <c r="K204" s="432">
        <f t="shared" si="17"/>
        <v>681.77737517949072</v>
      </c>
    </row>
    <row r="205" spans="1:11" s="432" customFormat="1" ht="17.100000000000001" customHeight="1" x14ac:dyDescent="0.25">
      <c r="A205" s="166">
        <v>2</v>
      </c>
      <c r="B205" s="214" t="s">
        <v>96</v>
      </c>
      <c r="C205" s="144">
        <f>'Office Minor'!C198</f>
        <v>36</v>
      </c>
      <c r="D205" s="144">
        <f>'Office Minor'!D198</f>
        <v>4825.1099999999997</v>
      </c>
      <c r="E205" s="144">
        <f>'Office Minor'!E198</f>
        <v>2918684</v>
      </c>
      <c r="F205" s="144">
        <f>'Office Minor'!F198</f>
        <v>2189013000</v>
      </c>
      <c r="G205" s="144">
        <f>'Office Minor'!G198</f>
        <v>552452101</v>
      </c>
      <c r="H205" s="144">
        <f>'Office Minor'!H198</f>
        <v>225</v>
      </c>
      <c r="K205" s="432">
        <f t="shared" si="17"/>
        <v>750</v>
      </c>
    </row>
    <row r="206" spans="1:11" s="432" customFormat="1" ht="17.100000000000001" customHeight="1" x14ac:dyDescent="0.25">
      <c r="A206" s="166">
        <v>3</v>
      </c>
      <c r="B206" s="214" t="s">
        <v>377</v>
      </c>
      <c r="C206" s="137">
        <f>'Office Minor'!C236</f>
        <v>0</v>
      </c>
      <c r="D206" s="137">
        <f>'Office Minor'!D236</f>
        <v>0</v>
      </c>
      <c r="E206" s="137">
        <f>'Office Minor'!E236</f>
        <v>170052</v>
      </c>
      <c r="F206" s="137">
        <f>'Office Minor'!F236</f>
        <v>102031512</v>
      </c>
      <c r="G206" s="137">
        <f>'Office Minor'!G236</f>
        <v>12638400</v>
      </c>
      <c r="H206" s="137">
        <f>'Office Minor'!H236</f>
        <v>15</v>
      </c>
      <c r="K206" s="432">
        <f t="shared" si="17"/>
        <v>600.00183473290519</v>
      </c>
    </row>
    <row r="207" spans="1:11" s="432" customFormat="1" ht="17.100000000000001" customHeight="1" x14ac:dyDescent="0.25">
      <c r="A207" s="166">
        <v>4</v>
      </c>
      <c r="B207" s="214" t="s">
        <v>117</v>
      </c>
      <c r="C207" s="166">
        <f>'Office Minor'!C332</f>
        <v>80</v>
      </c>
      <c r="D207" s="166">
        <f>'Office Minor'!D332</f>
        <v>280.3</v>
      </c>
      <c r="E207" s="166">
        <f>'Office Minor'!E332</f>
        <v>784391</v>
      </c>
      <c r="F207" s="166">
        <f>'Office Minor'!F332</f>
        <v>541229790</v>
      </c>
      <c r="G207" s="166">
        <f>'Office Minor'!G332</f>
        <v>152136717</v>
      </c>
      <c r="H207" s="166">
        <f>'Office Minor'!H332</f>
        <v>320</v>
      </c>
      <c r="K207" s="432">
        <f t="shared" si="17"/>
        <v>690</v>
      </c>
    </row>
    <row r="208" spans="1:11" s="432" customFormat="1" ht="17.100000000000001" customHeight="1" x14ac:dyDescent="0.25">
      <c r="A208" s="166">
        <v>5</v>
      </c>
      <c r="B208" s="214" t="s">
        <v>154</v>
      </c>
      <c r="C208" s="143">
        <f>'Office Minor'!C343</f>
        <v>3</v>
      </c>
      <c r="D208" s="143">
        <f>'Office Minor'!D343</f>
        <v>917.9</v>
      </c>
      <c r="E208" s="143">
        <f>'Office Minor'!E343</f>
        <v>569846.78999999992</v>
      </c>
      <c r="F208" s="143">
        <f>'Office Minor'!F343</f>
        <v>393194285.09999996</v>
      </c>
      <c r="G208" s="143">
        <f>'Office Minor'!G343</f>
        <v>155366452</v>
      </c>
      <c r="H208" s="143">
        <f>'Office Minor'!H343</f>
        <v>45</v>
      </c>
      <c r="K208" s="432">
        <f t="shared" si="17"/>
        <v>690</v>
      </c>
    </row>
    <row r="209" spans="1:11" s="432" customFormat="1" ht="17.100000000000001" customHeight="1" x14ac:dyDescent="0.25">
      <c r="A209" s="166">
        <v>6</v>
      </c>
      <c r="B209" s="214" t="s">
        <v>97</v>
      </c>
      <c r="C209" s="143">
        <f>'Office Minor'!C385</f>
        <v>1</v>
      </c>
      <c r="D209" s="143">
        <f>'Office Minor'!D385</f>
        <v>225</v>
      </c>
      <c r="E209" s="143">
        <f>'Office Minor'!E385</f>
        <v>16800</v>
      </c>
      <c r="F209" s="143">
        <f>'Office Minor'!F385</f>
        <v>12096000</v>
      </c>
      <c r="G209" s="143">
        <f>'Office Minor'!G385</f>
        <v>108000</v>
      </c>
      <c r="H209" s="143">
        <f>'Office Minor'!H385</f>
        <v>0</v>
      </c>
      <c r="K209" s="432">
        <f t="shared" si="17"/>
        <v>720</v>
      </c>
    </row>
    <row r="210" spans="1:11" s="432" customFormat="1" ht="17.100000000000001" customHeight="1" x14ac:dyDescent="0.25">
      <c r="A210" s="166">
        <v>7</v>
      </c>
      <c r="B210" s="214" t="s">
        <v>107</v>
      </c>
      <c r="C210" s="197">
        <f>'Office Minor'!C516</f>
        <v>2</v>
      </c>
      <c r="D210" s="197">
        <f>'Office Minor'!D516</f>
        <v>1993.12</v>
      </c>
      <c r="E210" s="197">
        <f>'Office Minor'!E516</f>
        <v>140613</v>
      </c>
      <c r="F210" s="197">
        <f>'Office Minor'!F516</f>
        <v>105459750</v>
      </c>
      <c r="G210" s="197">
        <f>'Office Minor'!G516</f>
        <v>65129706</v>
      </c>
      <c r="H210" s="197">
        <f>'Office Minor'!H516</f>
        <v>150</v>
      </c>
      <c r="K210" s="432">
        <f t="shared" si="17"/>
        <v>750</v>
      </c>
    </row>
    <row r="211" spans="1:11" s="432" customFormat="1" ht="17.100000000000001" customHeight="1" x14ac:dyDescent="0.25">
      <c r="A211" s="166">
        <v>8</v>
      </c>
      <c r="B211" s="214" t="s">
        <v>175</v>
      </c>
      <c r="C211" s="204">
        <f>'Office Minor'!C767</f>
        <v>8</v>
      </c>
      <c r="D211" s="204">
        <f>'Office Minor'!D767</f>
        <v>670.38</v>
      </c>
      <c r="E211" s="204">
        <f>'Office Minor'!E767</f>
        <v>1153008</v>
      </c>
      <c r="F211" s="204">
        <f>'Office Minor'!F767</f>
        <v>864756645</v>
      </c>
      <c r="G211" s="204">
        <f>'Office Minor'!G767</f>
        <v>146415643</v>
      </c>
      <c r="H211" s="204">
        <f>'Office Minor'!H767</f>
        <v>250</v>
      </c>
      <c r="K211" s="432">
        <f t="shared" si="17"/>
        <v>750.00055940635275</v>
      </c>
    </row>
    <row r="212" spans="1:11" s="432" customFormat="1" ht="17.100000000000001" customHeight="1" x14ac:dyDescent="0.25">
      <c r="A212" s="627">
        <v>9</v>
      </c>
      <c r="B212" s="445" t="s">
        <v>95</v>
      </c>
      <c r="C212" s="204">
        <f>'Office Minor'!C758</f>
        <v>0</v>
      </c>
      <c r="D212" s="204">
        <f>'Office Minor'!D758</f>
        <v>0</v>
      </c>
      <c r="E212" s="204">
        <f>'Office Minor'!E758</f>
        <v>35368</v>
      </c>
      <c r="F212" s="204">
        <f>'Office Minor'!F758</f>
        <v>26526000</v>
      </c>
      <c r="G212" s="204">
        <f>'Office Minor'!G758</f>
        <v>9969001</v>
      </c>
      <c r="H212" s="204">
        <f>'Office Minor'!H758</f>
        <v>150</v>
      </c>
      <c r="K212" s="432">
        <f t="shared" si="17"/>
        <v>750</v>
      </c>
    </row>
    <row r="213" spans="1:11" s="432" customFormat="1" ht="17.100000000000001" customHeight="1" x14ac:dyDescent="0.25">
      <c r="A213" s="1136" t="s">
        <v>50</v>
      </c>
      <c r="B213" s="1137"/>
      <c r="C213" s="259">
        <f>SUM(C204:C212)</f>
        <v>132</v>
      </c>
      <c r="D213" s="259">
        <f t="shared" ref="D213:H213" si="18">SUM(D204:D212)</f>
        <v>9252.49</v>
      </c>
      <c r="E213" s="259">
        <f t="shared" si="18"/>
        <v>6712208.79</v>
      </c>
      <c r="F213" s="259">
        <f t="shared" si="18"/>
        <v>4863891572.1000004</v>
      </c>
      <c r="G213" s="259">
        <f t="shared" si="18"/>
        <v>1260365963</v>
      </c>
      <c r="H213" s="259">
        <f t="shared" si="18"/>
        <v>1485</v>
      </c>
      <c r="K213" s="432">
        <f t="shared" si="17"/>
        <v>724.63353335288616</v>
      </c>
    </row>
    <row r="214" spans="1:11" s="432" customFormat="1" ht="17.100000000000001" customHeight="1" x14ac:dyDescent="0.25">
      <c r="A214" s="451"/>
      <c r="B214" s="451"/>
      <c r="C214" s="451"/>
      <c r="D214" s="452"/>
      <c r="E214" s="386"/>
      <c r="F214" s="451"/>
      <c r="G214" s="386"/>
      <c r="H214" s="386"/>
      <c r="K214" s="432" t="e">
        <f t="shared" si="17"/>
        <v>#DIV/0!</v>
      </c>
    </row>
    <row r="215" spans="1:11" s="432" customFormat="1" ht="17.100000000000001" customHeight="1" x14ac:dyDescent="0.25">
      <c r="A215" s="1154" t="s">
        <v>399</v>
      </c>
      <c r="B215" s="1154"/>
      <c r="C215" s="1154"/>
      <c r="D215" s="1154"/>
      <c r="E215" s="1154"/>
      <c r="F215" s="1154"/>
      <c r="G215" s="1154"/>
      <c r="H215" s="1154"/>
      <c r="K215" s="432" t="e">
        <f t="shared" si="17"/>
        <v>#DIV/0!</v>
      </c>
    </row>
    <row r="216" spans="1:11" s="432" customFormat="1" ht="17.100000000000001" customHeight="1" x14ac:dyDescent="0.25">
      <c r="A216" s="1122" t="s">
        <v>2</v>
      </c>
      <c r="B216" s="1124" t="s">
        <v>77</v>
      </c>
      <c r="C216" s="249" t="s">
        <v>4</v>
      </c>
      <c r="D216" s="249" t="s">
        <v>5</v>
      </c>
      <c r="E216" s="249" t="s">
        <v>6</v>
      </c>
      <c r="F216" s="249" t="s">
        <v>7</v>
      </c>
      <c r="G216" s="249" t="s">
        <v>8</v>
      </c>
      <c r="H216" s="249" t="s">
        <v>9</v>
      </c>
      <c r="K216" s="432" t="e">
        <f t="shared" si="17"/>
        <v>#VALUE!</v>
      </c>
    </row>
    <row r="217" spans="1:11" s="432" customFormat="1" ht="17.100000000000001" customHeight="1" x14ac:dyDescent="0.25">
      <c r="A217" s="1123"/>
      <c r="B217" s="1156"/>
      <c r="C217" s="235" t="s">
        <v>10</v>
      </c>
      <c r="D217" s="235" t="s">
        <v>78</v>
      </c>
      <c r="E217" s="235" t="s">
        <v>79</v>
      </c>
      <c r="F217" s="56" t="s">
        <v>80</v>
      </c>
      <c r="G217" s="56" t="s">
        <v>80</v>
      </c>
      <c r="H217" s="235" t="s">
        <v>13</v>
      </c>
      <c r="K217" s="432" t="e">
        <f t="shared" si="17"/>
        <v>#VALUE!</v>
      </c>
    </row>
    <row r="218" spans="1:11" s="432" customFormat="1" ht="17.100000000000001" customHeight="1" x14ac:dyDescent="0.25">
      <c r="A218" s="606">
        <v>1</v>
      </c>
      <c r="B218" s="605" t="s">
        <v>105</v>
      </c>
      <c r="C218" s="613">
        <f>'Office Minor'!C318</f>
        <v>1</v>
      </c>
      <c r="D218" s="613">
        <f>'Office Minor'!D318</f>
        <v>1.8353999999999999</v>
      </c>
      <c r="E218" s="613">
        <f>'Office Minor'!E318</f>
        <v>6919.52</v>
      </c>
      <c r="F218" s="613">
        <f>'Office Minor'!F318</f>
        <v>3113784</v>
      </c>
      <c r="G218" s="613">
        <f>'Office Minor'!G318</f>
        <v>864940</v>
      </c>
      <c r="H218" s="613">
        <f>'Office Minor'!H318</f>
        <v>5</v>
      </c>
      <c r="K218" s="432">
        <f t="shared" si="17"/>
        <v>450</v>
      </c>
    </row>
    <row r="219" spans="1:11" s="432" customFormat="1" ht="17.100000000000001" customHeight="1" x14ac:dyDescent="0.25">
      <c r="A219" s="166">
        <v>2</v>
      </c>
      <c r="B219" s="212" t="s">
        <v>400</v>
      </c>
      <c r="C219" s="236">
        <f>'Office Minor'!C518</f>
        <v>3</v>
      </c>
      <c r="D219" s="236">
        <f>'Office Minor'!D518</f>
        <v>12.03</v>
      </c>
      <c r="E219" s="236">
        <f>'Office Minor'!E518</f>
        <v>55308</v>
      </c>
      <c r="F219" s="236">
        <f>'Office Minor'!F518</f>
        <v>19910898</v>
      </c>
      <c r="G219" s="236">
        <f>'Office Minor'!G518</f>
        <v>185583</v>
      </c>
      <c r="H219" s="236">
        <f>'Office Minor'!H518</f>
        <v>100</v>
      </c>
      <c r="K219" s="432">
        <f t="shared" si="17"/>
        <v>360.00032545020611</v>
      </c>
    </row>
    <row r="220" spans="1:11" s="432" customFormat="1" ht="17.100000000000001" customHeight="1" x14ac:dyDescent="0.25">
      <c r="A220" s="1136" t="s">
        <v>50</v>
      </c>
      <c r="B220" s="1137"/>
      <c r="C220" s="259">
        <f>SUM(C218:C219)</f>
        <v>4</v>
      </c>
      <c r="D220" s="259">
        <f t="shared" ref="D220:H220" si="19">SUM(D218:D219)</f>
        <v>13.865399999999999</v>
      </c>
      <c r="E220" s="259">
        <f t="shared" si="19"/>
        <v>62227.520000000004</v>
      </c>
      <c r="F220" s="259">
        <f t="shared" si="19"/>
        <v>23024682</v>
      </c>
      <c r="G220" s="259">
        <f>SUM(G218:G219)</f>
        <v>1050523</v>
      </c>
      <c r="H220" s="259">
        <f t="shared" si="19"/>
        <v>105</v>
      </c>
      <c r="K220" s="432">
        <f t="shared" si="17"/>
        <v>370.00802860213616</v>
      </c>
    </row>
    <row r="221" spans="1:11" s="432" customFormat="1" ht="17.100000000000001" customHeight="1" x14ac:dyDescent="0.25">
      <c r="A221" s="451"/>
      <c r="B221" s="451"/>
      <c r="C221" s="451"/>
      <c r="D221" s="452"/>
      <c r="E221" s="386"/>
      <c r="F221" s="451"/>
      <c r="G221" s="386"/>
      <c r="H221" s="386"/>
      <c r="K221" s="432" t="e">
        <f t="shared" si="17"/>
        <v>#DIV/0!</v>
      </c>
    </row>
    <row r="222" spans="1:11" s="432" customFormat="1" ht="17.100000000000001" customHeight="1" x14ac:dyDescent="0.25">
      <c r="A222" s="1149" t="s">
        <v>59</v>
      </c>
      <c r="B222" s="1149"/>
      <c r="C222" s="1149"/>
      <c r="D222" s="1149"/>
      <c r="E222" s="1149"/>
      <c r="F222" s="1149"/>
      <c r="G222" s="1149"/>
      <c r="H222" s="1149"/>
      <c r="K222" s="432" t="e">
        <f t="shared" si="17"/>
        <v>#DIV/0!</v>
      </c>
    </row>
    <row r="223" spans="1:11" s="432" customFormat="1" ht="17.100000000000001" customHeight="1" x14ac:dyDescent="0.25">
      <c r="A223" s="1122" t="s">
        <v>2</v>
      </c>
      <c r="B223" s="1124" t="s">
        <v>77</v>
      </c>
      <c r="C223" s="249" t="s">
        <v>4</v>
      </c>
      <c r="D223" s="249" t="s">
        <v>5</v>
      </c>
      <c r="E223" s="249" t="s">
        <v>6</v>
      </c>
      <c r="F223" s="249" t="s">
        <v>7</v>
      </c>
      <c r="G223" s="249" t="s">
        <v>8</v>
      </c>
      <c r="H223" s="249" t="s">
        <v>9</v>
      </c>
      <c r="K223" s="432" t="e">
        <f t="shared" si="17"/>
        <v>#VALUE!</v>
      </c>
    </row>
    <row r="224" spans="1:11" s="432" customFormat="1" ht="17.100000000000001" customHeight="1" x14ac:dyDescent="0.25">
      <c r="A224" s="1123"/>
      <c r="B224" s="1125"/>
      <c r="C224" s="2" t="s">
        <v>10</v>
      </c>
      <c r="D224" s="2" t="s">
        <v>52</v>
      </c>
      <c r="E224" s="2" t="s">
        <v>79</v>
      </c>
      <c r="F224" s="52" t="s">
        <v>80</v>
      </c>
      <c r="G224" s="52" t="s">
        <v>80</v>
      </c>
      <c r="H224" s="2" t="s">
        <v>13</v>
      </c>
      <c r="K224" s="432" t="e">
        <f t="shared" si="17"/>
        <v>#VALUE!</v>
      </c>
    </row>
    <row r="225" spans="1:11" s="432" customFormat="1" ht="17.100000000000001" customHeight="1" x14ac:dyDescent="0.25">
      <c r="A225" s="166">
        <v>1</v>
      </c>
      <c r="B225" s="433" t="s">
        <v>138</v>
      </c>
      <c r="C225" s="203">
        <f>'Office Minor'!C12</f>
        <v>2</v>
      </c>
      <c r="D225" s="203">
        <f>'Office Minor'!D12</f>
        <v>716.12879999999996</v>
      </c>
      <c r="E225" s="203">
        <f>'Office Minor'!E12</f>
        <v>171426.11111111112</v>
      </c>
      <c r="F225" s="203">
        <f>'Office Minor'!F12</f>
        <v>94284361.111111119</v>
      </c>
      <c r="G225" s="203">
        <f>'Office Minor'!G12</f>
        <v>7714175</v>
      </c>
      <c r="H225" s="203">
        <f>'Office Minor'!H12</f>
        <v>150</v>
      </c>
      <c r="K225" s="432">
        <f t="shared" si="17"/>
        <v>550</v>
      </c>
    </row>
    <row r="226" spans="1:11" s="432" customFormat="1" ht="17.100000000000001" customHeight="1" x14ac:dyDescent="0.25">
      <c r="A226" s="166">
        <v>2</v>
      </c>
      <c r="B226" s="433" t="s">
        <v>92</v>
      </c>
      <c r="C226" s="166">
        <f>'Office Minor'!C30</f>
        <v>3</v>
      </c>
      <c r="D226" s="166">
        <f>'Office Minor'!D30</f>
        <v>1502.79</v>
      </c>
      <c r="E226" s="166">
        <f>'Office Minor'!E30</f>
        <v>31279</v>
      </c>
      <c r="F226" s="166">
        <f>'Office Minor'!F30</f>
        <v>25023232</v>
      </c>
      <c r="G226" s="166">
        <f>'Office Minor'!G30</f>
        <v>97448577</v>
      </c>
      <c r="H226" s="166">
        <f>'Office Minor'!H30</f>
        <v>22</v>
      </c>
      <c r="K226" s="432">
        <f t="shared" si="17"/>
        <v>800.00102305060898</v>
      </c>
    </row>
    <row r="227" spans="1:11" s="432" customFormat="1" ht="17.100000000000001" customHeight="1" x14ac:dyDescent="0.25">
      <c r="A227" s="166">
        <v>3</v>
      </c>
      <c r="B227" s="433" t="s">
        <v>86</v>
      </c>
      <c r="C227" s="137">
        <f>'Office Minor'!C49</f>
        <v>0</v>
      </c>
      <c r="D227" s="137">
        <f>'Office Minor'!D49</f>
        <v>0</v>
      </c>
      <c r="E227" s="137">
        <f>'Office Minor'!E49</f>
        <v>0</v>
      </c>
      <c r="F227" s="137">
        <f>'Office Minor'!F49</f>
        <v>0</v>
      </c>
      <c r="G227" s="137">
        <f>'Office Minor'!G49</f>
        <v>0</v>
      </c>
      <c r="H227" s="137">
        <f>'Office Minor'!H49</f>
        <v>0</v>
      </c>
      <c r="K227" s="432" t="e">
        <f t="shared" si="17"/>
        <v>#DIV/0!</v>
      </c>
    </row>
    <row r="228" spans="1:11" s="432" customFormat="1" ht="17.100000000000001" customHeight="1" x14ac:dyDescent="0.25">
      <c r="A228" s="166">
        <v>4</v>
      </c>
      <c r="B228" s="447" t="s">
        <v>191</v>
      </c>
      <c r="C228" s="137">
        <f>'Office Minor'!C126</f>
        <v>1</v>
      </c>
      <c r="D228" s="137">
        <f>'Office Minor'!D126</f>
        <v>1677</v>
      </c>
      <c r="E228" s="137">
        <f>'Office Minor'!E126</f>
        <v>500836</v>
      </c>
      <c r="F228" s="137">
        <f>'Office Minor'!F126</f>
        <v>275459800</v>
      </c>
      <c r="G228" s="137">
        <f>'Office Minor'!G126</f>
        <v>22537620</v>
      </c>
      <c r="H228" s="137">
        <f>'Office Minor'!H126</f>
        <v>45</v>
      </c>
      <c r="K228" s="432">
        <f t="shared" si="17"/>
        <v>550</v>
      </c>
    </row>
    <row r="229" spans="1:11" s="432" customFormat="1" ht="17.100000000000001" customHeight="1" x14ac:dyDescent="0.25">
      <c r="A229" s="166">
        <v>5</v>
      </c>
      <c r="B229" s="433" t="s">
        <v>140</v>
      </c>
      <c r="C229" s="204">
        <f>'Office Minor'!C93</f>
        <v>3</v>
      </c>
      <c r="D229" s="204">
        <f>'Office Minor'!D93</f>
        <v>850.14</v>
      </c>
      <c r="E229" s="204">
        <f>'Office Minor'!E93</f>
        <v>88461.37</v>
      </c>
      <c r="F229" s="204">
        <f>'Office Minor'!F93</f>
        <v>48653753.5</v>
      </c>
      <c r="G229" s="204">
        <f>'Office Minor'!G93</f>
        <v>15923046.6</v>
      </c>
      <c r="H229" s="204">
        <f>'Office Minor'!H93</f>
        <v>50</v>
      </c>
      <c r="K229" s="432">
        <f t="shared" si="17"/>
        <v>550</v>
      </c>
    </row>
    <row r="230" spans="1:11" s="432" customFormat="1" ht="17.100000000000001" customHeight="1" x14ac:dyDescent="0.25">
      <c r="A230" s="166">
        <v>6</v>
      </c>
      <c r="B230" s="433" t="s">
        <v>150</v>
      </c>
      <c r="C230" s="453">
        <f>'Office Minor'!C77</f>
        <v>0</v>
      </c>
      <c r="D230" s="453">
        <f>'Office Minor'!D77</f>
        <v>0</v>
      </c>
      <c r="E230" s="453">
        <f>'Office Minor'!E77</f>
        <v>0</v>
      </c>
      <c r="F230" s="453">
        <f>'Office Minor'!F77</f>
        <v>0</v>
      </c>
      <c r="G230" s="453">
        <f>'Office Minor'!G77</f>
        <v>0</v>
      </c>
      <c r="H230" s="453">
        <f>'Office Minor'!H77</f>
        <v>0</v>
      </c>
      <c r="K230" s="432" t="e">
        <f t="shared" si="17"/>
        <v>#DIV/0!</v>
      </c>
    </row>
    <row r="231" spans="1:11" s="432" customFormat="1" ht="17.100000000000001" customHeight="1" x14ac:dyDescent="0.25">
      <c r="A231" s="166">
        <v>7</v>
      </c>
      <c r="B231" s="433" t="s">
        <v>145</v>
      </c>
      <c r="C231" s="137">
        <f>'Office Minor'!C63</f>
        <v>0</v>
      </c>
      <c r="D231" s="137">
        <f>'Office Minor'!D63</f>
        <v>0</v>
      </c>
      <c r="E231" s="137">
        <f>'Office Minor'!E63</f>
        <v>0</v>
      </c>
      <c r="F231" s="137">
        <f>'Office Minor'!F63</f>
        <v>0</v>
      </c>
      <c r="G231" s="137">
        <f>'Office Minor'!G63</f>
        <v>0</v>
      </c>
      <c r="H231" s="137">
        <f>'Office Minor'!H63</f>
        <v>0</v>
      </c>
      <c r="K231" s="432" t="e">
        <f t="shared" si="17"/>
        <v>#DIV/0!</v>
      </c>
    </row>
    <row r="232" spans="1:11" s="432" customFormat="1" ht="17.100000000000001" customHeight="1" x14ac:dyDescent="0.25">
      <c r="A232" s="166">
        <v>8</v>
      </c>
      <c r="B232" s="433" t="s">
        <v>151</v>
      </c>
      <c r="C232" s="236">
        <f>'Office Minor'!C109</f>
        <v>2</v>
      </c>
      <c r="D232" s="236">
        <f>'Office Minor'!D109</f>
        <v>8208.2999999999993</v>
      </c>
      <c r="E232" s="236">
        <f>'Office Minor'!E109</f>
        <v>1973013</v>
      </c>
      <c r="F232" s="236">
        <f>'Office Minor'!F109</f>
        <v>1085157414</v>
      </c>
      <c r="G232" s="236">
        <f>'Office Minor'!G109</f>
        <v>127684293</v>
      </c>
      <c r="H232" s="236">
        <f>'Office Minor'!H109</f>
        <v>200</v>
      </c>
      <c r="K232" s="432">
        <f t="shared" si="17"/>
        <v>550.00013380550456</v>
      </c>
    </row>
    <row r="233" spans="1:11" s="432" customFormat="1" ht="17.100000000000001" customHeight="1" x14ac:dyDescent="0.25">
      <c r="A233" s="166">
        <v>9</v>
      </c>
      <c r="B233" s="433" t="s">
        <v>141</v>
      </c>
      <c r="C233" s="63">
        <f>'Office Minor'!C144</f>
        <v>1</v>
      </c>
      <c r="D233" s="63">
        <f>'Office Minor'!D144</f>
        <v>1675.85</v>
      </c>
      <c r="E233" s="63">
        <f>'Office Minor'!E144</f>
        <v>321112</v>
      </c>
      <c r="F233" s="63">
        <f>'Office Minor'!F144</f>
        <v>160556475</v>
      </c>
      <c r="G233" s="63">
        <f>'Office Minor'!G144</f>
        <v>29147909</v>
      </c>
      <c r="H233" s="63">
        <f>'Office Minor'!H144</f>
        <v>250</v>
      </c>
      <c r="K233" s="432">
        <f t="shared" si="17"/>
        <v>500.00147923465954</v>
      </c>
    </row>
    <row r="234" spans="1:11" s="432" customFormat="1" ht="17.100000000000001" customHeight="1" x14ac:dyDescent="0.25">
      <c r="A234" s="166">
        <v>10</v>
      </c>
      <c r="B234" s="433" t="s">
        <v>81</v>
      </c>
      <c r="C234" s="137">
        <f>'Office Minor'!C175</f>
        <v>4</v>
      </c>
      <c r="D234" s="137">
        <f>'Office Minor'!D175</f>
        <v>2956</v>
      </c>
      <c r="E234" s="137">
        <f>'Office Minor'!E175</f>
        <v>3969732</v>
      </c>
      <c r="F234" s="137">
        <f>'Office Minor'!F175</f>
        <v>1389406200</v>
      </c>
      <c r="G234" s="137">
        <f>'Office Minor'!G175</f>
        <v>211633211</v>
      </c>
      <c r="H234" s="137">
        <f>'Office Minor'!H175</f>
        <v>100</v>
      </c>
      <c r="K234" s="432">
        <f t="shared" si="17"/>
        <v>350</v>
      </c>
    </row>
    <row r="235" spans="1:11" s="432" customFormat="1" ht="17.100000000000001" customHeight="1" x14ac:dyDescent="0.25">
      <c r="A235" s="166">
        <v>11</v>
      </c>
      <c r="B235" s="433" t="s">
        <v>96</v>
      </c>
      <c r="C235" s="63">
        <f>'Office Minor'!C192</f>
        <v>103</v>
      </c>
      <c r="D235" s="63">
        <f>'Office Minor'!D192</f>
        <v>317.57</v>
      </c>
      <c r="E235" s="63">
        <f>'Office Minor'!E192</f>
        <v>2428131</v>
      </c>
      <c r="F235" s="63">
        <f>'Office Minor'!F192</f>
        <v>1335472050</v>
      </c>
      <c r="G235" s="63">
        <f>'Office Minor'!G192</f>
        <v>405703225</v>
      </c>
      <c r="H235" s="63">
        <f>'Office Minor'!H192</f>
        <v>515</v>
      </c>
      <c r="K235" s="432">
        <f t="shared" si="17"/>
        <v>550</v>
      </c>
    </row>
    <row r="236" spans="1:11" s="432" customFormat="1" ht="17.100000000000001" customHeight="1" x14ac:dyDescent="0.25">
      <c r="A236" s="166">
        <v>12</v>
      </c>
      <c r="B236" s="433" t="s">
        <v>142</v>
      </c>
      <c r="C236" s="204">
        <f>'Office Minor'!C220</f>
        <v>1</v>
      </c>
      <c r="D236" s="204">
        <f>'Office Minor'!D220</f>
        <v>141.44999999999999</v>
      </c>
      <c r="E236" s="204">
        <f>'Office Minor'!E220</f>
        <v>0</v>
      </c>
      <c r="F236" s="204">
        <f>'Office Minor'!F220</f>
        <v>0</v>
      </c>
      <c r="G236" s="204">
        <f>'Office Minor'!G220</f>
        <v>0</v>
      </c>
      <c r="H236" s="204">
        <f>'Office Minor'!H220</f>
        <v>0</v>
      </c>
      <c r="K236" s="432" t="e">
        <f t="shared" si="17"/>
        <v>#DIV/0!</v>
      </c>
    </row>
    <row r="237" spans="1:11" s="432" customFormat="1" ht="17.100000000000001" customHeight="1" x14ac:dyDescent="0.25">
      <c r="A237" s="166">
        <v>13</v>
      </c>
      <c r="B237" s="433" t="s">
        <v>104</v>
      </c>
      <c r="C237" s="143">
        <f>'Office Minor'!C247</f>
        <v>4</v>
      </c>
      <c r="D237" s="143">
        <f>'Office Minor'!D247</f>
        <v>1496.05</v>
      </c>
      <c r="E237" s="143">
        <f>'Office Minor'!E247</f>
        <v>433398</v>
      </c>
      <c r="F237" s="143">
        <f>'Office Minor'!F247</f>
        <v>238368900</v>
      </c>
      <c r="G237" s="143">
        <f>'Office Minor'!G247</f>
        <v>45893402</v>
      </c>
      <c r="H237" s="143">
        <f>'Office Minor'!H247</f>
        <v>27</v>
      </c>
      <c r="K237" s="432">
        <f t="shared" si="17"/>
        <v>550</v>
      </c>
    </row>
    <row r="238" spans="1:11" s="432" customFormat="1" ht="17.100000000000001" customHeight="1" x14ac:dyDescent="0.25">
      <c r="A238" s="166">
        <v>14</v>
      </c>
      <c r="B238" s="433" t="s">
        <v>110</v>
      </c>
      <c r="C238" s="137">
        <f>'Office Minor'!C275</f>
        <v>2</v>
      </c>
      <c r="D238" s="137">
        <f>'Office Minor'!D275</f>
        <v>2787</v>
      </c>
      <c r="E238" s="137">
        <f>'Office Minor'!E275</f>
        <v>11356</v>
      </c>
      <c r="F238" s="137">
        <f>'Office Minor'!F275</f>
        <v>8517000</v>
      </c>
      <c r="G238" s="137">
        <f>'Office Minor'!G275</f>
        <v>8123235</v>
      </c>
      <c r="H238" s="137">
        <f>'Office Minor'!H275</f>
        <v>100</v>
      </c>
      <c r="K238" s="432">
        <f t="shared" si="17"/>
        <v>750</v>
      </c>
    </row>
    <row r="239" spans="1:11" s="432" customFormat="1" ht="17.100000000000001" customHeight="1" x14ac:dyDescent="0.25">
      <c r="A239" s="166">
        <v>15</v>
      </c>
      <c r="B239" s="433" t="s">
        <v>134</v>
      </c>
      <c r="C239" s="143">
        <f>'Office Minor'!C293</f>
        <v>0</v>
      </c>
      <c r="D239" s="143">
        <f>'Office Minor'!D293</f>
        <v>0</v>
      </c>
      <c r="E239" s="143">
        <f>'Office Minor'!E293</f>
        <v>0</v>
      </c>
      <c r="F239" s="143">
        <f>'Office Minor'!F293</f>
        <v>0</v>
      </c>
      <c r="G239" s="143">
        <f>'Office Minor'!G293</f>
        <v>0</v>
      </c>
      <c r="H239" s="143">
        <f>'Office Minor'!H293</f>
        <v>0</v>
      </c>
      <c r="K239" s="432" t="e">
        <f t="shared" si="17"/>
        <v>#DIV/0!</v>
      </c>
    </row>
    <row r="240" spans="1:11" s="432" customFormat="1" ht="17.100000000000001" customHeight="1" x14ac:dyDescent="0.25">
      <c r="A240" s="166">
        <v>16</v>
      </c>
      <c r="B240" s="433" t="s">
        <v>153</v>
      </c>
      <c r="C240" s="137">
        <f>'Office Minor'!C304</f>
        <v>0</v>
      </c>
      <c r="D240" s="137">
        <f>'Office Minor'!D304</f>
        <v>0</v>
      </c>
      <c r="E240" s="137">
        <f>'Office Minor'!E304</f>
        <v>0</v>
      </c>
      <c r="F240" s="137">
        <f>'Office Minor'!F304</f>
        <v>0</v>
      </c>
      <c r="G240" s="137">
        <f>'Office Minor'!G304</f>
        <v>0</v>
      </c>
      <c r="H240" s="137">
        <f>'Office Minor'!H304</f>
        <v>0</v>
      </c>
      <c r="K240" s="432" t="e">
        <f t="shared" si="17"/>
        <v>#DIV/0!</v>
      </c>
    </row>
    <row r="241" spans="1:11" s="432" customFormat="1" ht="17.100000000000001" customHeight="1" x14ac:dyDescent="0.25">
      <c r="A241" s="166">
        <v>17</v>
      </c>
      <c r="B241" s="433" t="s">
        <v>383</v>
      </c>
      <c r="C241" s="63">
        <f>'Office Minor'!C319</f>
        <v>1</v>
      </c>
      <c r="D241" s="63">
        <f>'Office Minor'!D319</f>
        <v>426</v>
      </c>
      <c r="E241" s="63">
        <f>'Office Minor'!E319</f>
        <v>350194</v>
      </c>
      <c r="F241" s="63">
        <f>'Office Minor'!F319</f>
        <v>280155552</v>
      </c>
      <c r="G241" s="63">
        <f>'Office Minor'!G319</f>
        <v>15758617</v>
      </c>
      <c r="H241" s="63">
        <f>'Office Minor'!H319</f>
        <v>240</v>
      </c>
      <c r="K241" s="432">
        <f t="shared" si="17"/>
        <v>800.00100515714144</v>
      </c>
    </row>
    <row r="242" spans="1:11" s="432" customFormat="1" ht="17.100000000000001" customHeight="1" x14ac:dyDescent="0.25">
      <c r="A242" s="166">
        <v>18</v>
      </c>
      <c r="B242" s="433" t="s">
        <v>154</v>
      </c>
      <c r="C242" s="63">
        <f>'Office Minor'!C349</f>
        <v>2</v>
      </c>
      <c r="D242" s="63">
        <f>'Office Minor'!D349</f>
        <v>72</v>
      </c>
      <c r="E242" s="63">
        <f>'Office Minor'!E349</f>
        <v>0</v>
      </c>
      <c r="F242" s="63">
        <f>'Office Minor'!F349</f>
        <v>0</v>
      </c>
      <c r="G242" s="63">
        <f>'Office Minor'!G349</f>
        <v>0</v>
      </c>
      <c r="H242" s="63">
        <f>'Office Minor'!H349</f>
        <v>0</v>
      </c>
      <c r="K242" s="432" t="e">
        <f t="shared" si="17"/>
        <v>#DIV/0!</v>
      </c>
    </row>
    <row r="243" spans="1:11" s="432" customFormat="1" ht="17.100000000000001" customHeight="1" x14ac:dyDescent="0.25">
      <c r="A243" s="166">
        <v>19</v>
      </c>
      <c r="B243" s="433" t="s">
        <v>87</v>
      </c>
      <c r="C243" s="137">
        <f>'Office Minor'!C366</f>
        <v>1</v>
      </c>
      <c r="D243" s="137">
        <f>'Office Minor'!D366</f>
        <v>954.15</v>
      </c>
      <c r="E243" s="137">
        <f>'Office Minor'!E366</f>
        <v>81837</v>
      </c>
      <c r="F243" s="137">
        <f>'Office Minor'!F366</f>
        <v>65470032</v>
      </c>
      <c r="G243" s="137">
        <f>'Office Minor'!G366</f>
        <v>7639716</v>
      </c>
      <c r="H243" s="137">
        <f>'Office Minor'!H366</f>
        <v>350</v>
      </c>
      <c r="K243" s="432">
        <f t="shared" si="17"/>
        <v>800.00527878587923</v>
      </c>
    </row>
    <row r="244" spans="1:11" s="432" customFormat="1" ht="17.100000000000001" customHeight="1" x14ac:dyDescent="0.25">
      <c r="A244" s="166">
        <v>20</v>
      </c>
      <c r="B244" s="433" t="s">
        <v>97</v>
      </c>
      <c r="C244" s="63">
        <f>'Office Minor'!C383</f>
        <v>3</v>
      </c>
      <c r="D244" s="63">
        <f>'Office Minor'!D383</f>
        <v>1142.8399999999999</v>
      </c>
      <c r="E244" s="63">
        <f>'Office Minor'!E383</f>
        <v>283578</v>
      </c>
      <c r="F244" s="63">
        <f>'Office Minor'!F383</f>
        <v>155967900</v>
      </c>
      <c r="G244" s="63">
        <f>'Office Minor'!G383</f>
        <v>12574287</v>
      </c>
      <c r="H244" s="63">
        <f>'Office Minor'!H383</f>
        <v>438</v>
      </c>
      <c r="K244" s="432">
        <f t="shared" si="17"/>
        <v>550</v>
      </c>
    </row>
    <row r="245" spans="1:11" s="432" customFormat="1" ht="17.100000000000001" customHeight="1" x14ac:dyDescent="0.25">
      <c r="A245" s="166">
        <v>21</v>
      </c>
      <c r="B245" s="433" t="s">
        <v>128</v>
      </c>
      <c r="C245" s="255">
        <f>'Office Minor'!C401</f>
        <v>2</v>
      </c>
      <c r="D245" s="255">
        <f>'Office Minor'!D401</f>
        <v>2874.9</v>
      </c>
      <c r="E245" s="255">
        <f>'Office Minor'!E401</f>
        <v>266930</v>
      </c>
      <c r="F245" s="255">
        <f>'Office Minor'!F401</f>
        <v>146811500</v>
      </c>
      <c r="G245" s="255">
        <f>'Office Minor'!G401</f>
        <v>12011850</v>
      </c>
      <c r="H245" s="255">
        <f>'Office Minor'!H401</f>
        <v>40</v>
      </c>
      <c r="K245" s="432">
        <f t="shared" si="17"/>
        <v>550</v>
      </c>
    </row>
    <row r="246" spans="1:11" s="432" customFormat="1" ht="17.100000000000001" customHeight="1" x14ac:dyDescent="0.25">
      <c r="A246" s="166">
        <v>22</v>
      </c>
      <c r="B246" s="433" t="s">
        <v>135</v>
      </c>
      <c r="C246" s="143">
        <f>'Office Minor'!C416</f>
        <v>1</v>
      </c>
      <c r="D246" s="143">
        <f>'Office Minor'!D416</f>
        <v>0</v>
      </c>
      <c r="E246" s="143">
        <f>'Office Minor'!E416</f>
        <v>471253</v>
      </c>
      <c r="F246" s="143">
        <f>'Office Minor'!F416</f>
        <v>259189150</v>
      </c>
      <c r="G246" s="143">
        <f>'Office Minor'!G416</f>
        <v>26509000</v>
      </c>
      <c r="H246" s="143">
        <f>'Office Minor'!H416</f>
        <v>18</v>
      </c>
      <c r="K246" s="432">
        <f t="shared" si="17"/>
        <v>550</v>
      </c>
    </row>
    <row r="247" spans="1:11" s="432" customFormat="1" ht="17.100000000000001" customHeight="1" x14ac:dyDescent="0.25">
      <c r="A247" s="166">
        <v>23</v>
      </c>
      <c r="B247" s="433" t="s">
        <v>118</v>
      </c>
      <c r="C247" s="63">
        <f>'Office Minor'!C436</f>
        <v>4</v>
      </c>
      <c r="D247" s="63">
        <f>'Office Minor'!D436</f>
        <v>7297.96</v>
      </c>
      <c r="E247" s="63">
        <f>'Office Minor'!E436</f>
        <v>468760</v>
      </c>
      <c r="F247" s="63">
        <f>'Office Minor'!F436</f>
        <v>164066136</v>
      </c>
      <c r="G247" s="63">
        <f>'Office Minor'!G436</f>
        <v>43400000</v>
      </c>
      <c r="H247" s="63">
        <f>'Office Minor'!H436</f>
        <v>35</v>
      </c>
      <c r="K247" s="432">
        <f t="shared" si="17"/>
        <v>350.00029012714396</v>
      </c>
    </row>
    <row r="248" spans="1:11" s="432" customFormat="1" ht="17.100000000000001" customHeight="1" x14ac:dyDescent="0.25">
      <c r="A248" s="166">
        <v>24</v>
      </c>
      <c r="B248" s="433" t="s">
        <v>136</v>
      </c>
      <c r="C248" s="63">
        <f>'Office Minor'!C450</f>
        <v>0</v>
      </c>
      <c r="D248" s="63">
        <f>'Office Minor'!D450</f>
        <v>0</v>
      </c>
      <c r="E248" s="63">
        <f>'Office Minor'!E450</f>
        <v>0</v>
      </c>
      <c r="F248" s="63">
        <f>'Office Minor'!F450</f>
        <v>0</v>
      </c>
      <c r="G248" s="63">
        <f>'Office Minor'!G450</f>
        <v>0</v>
      </c>
      <c r="H248" s="63">
        <f>'Office Minor'!H450</f>
        <v>0</v>
      </c>
      <c r="K248" s="432" t="e">
        <f t="shared" si="17"/>
        <v>#DIV/0!</v>
      </c>
    </row>
    <row r="249" spans="1:11" s="432" customFormat="1" ht="17.100000000000001" customHeight="1" x14ac:dyDescent="0.25">
      <c r="A249" s="166">
        <v>25</v>
      </c>
      <c r="B249" s="433" t="s">
        <v>119</v>
      </c>
      <c r="C249" s="63">
        <f>'Office Minor'!C467</f>
        <v>1</v>
      </c>
      <c r="D249" s="63">
        <f>'Office Minor'!D467</f>
        <v>141.44999999999999</v>
      </c>
      <c r="E249" s="63">
        <f>'Office Minor'!E467</f>
        <v>252668</v>
      </c>
      <c r="F249" s="63">
        <f>'Office Minor'!F467</f>
        <v>138967876</v>
      </c>
      <c r="G249" s="63">
        <f>'Office Minor'!G467</f>
        <v>11370099</v>
      </c>
      <c r="H249" s="63">
        <f>'Office Minor'!H467</f>
        <v>150</v>
      </c>
      <c r="K249" s="432">
        <f t="shared" si="17"/>
        <v>550.00188389507184</v>
      </c>
    </row>
    <row r="250" spans="1:11" s="432" customFormat="1" ht="17.100000000000001" customHeight="1" x14ac:dyDescent="0.25">
      <c r="A250" s="166">
        <v>26</v>
      </c>
      <c r="B250" s="433" t="s">
        <v>88</v>
      </c>
      <c r="C250" s="63">
        <f>'Office Minor'!C483</f>
        <v>0</v>
      </c>
      <c r="D250" s="63">
        <f>'Office Minor'!D483</f>
        <v>0</v>
      </c>
      <c r="E250" s="63">
        <f>'Office Minor'!E483</f>
        <v>16258</v>
      </c>
      <c r="F250" s="63">
        <f>'Office Minor'!F483</f>
        <v>8129027</v>
      </c>
      <c r="G250" s="63">
        <f>'Office Minor'!G483</f>
        <v>2926450</v>
      </c>
      <c r="H250" s="63">
        <f>'Office Minor'!H483</f>
        <v>20</v>
      </c>
      <c r="K250" s="432">
        <f t="shared" si="17"/>
        <v>500.00166072087586</v>
      </c>
    </row>
    <row r="251" spans="1:11" s="432" customFormat="1" ht="17.100000000000001" customHeight="1" x14ac:dyDescent="0.25">
      <c r="A251" s="166">
        <v>27</v>
      </c>
      <c r="B251" s="433" t="s">
        <v>124</v>
      </c>
      <c r="C251" s="63">
        <f>'Office Minor'!C504</f>
        <v>2</v>
      </c>
      <c r="D251" s="63">
        <f>'Office Minor'!D504</f>
        <v>79.56</v>
      </c>
      <c r="E251" s="63">
        <f>'Office Minor'!E504</f>
        <v>8400</v>
      </c>
      <c r="F251" s="63">
        <f>'Office Minor'!F504</f>
        <v>3780355</v>
      </c>
      <c r="G251" s="63">
        <f>'Office Minor'!G504</f>
        <v>98000</v>
      </c>
      <c r="H251" s="63">
        <f>'Office Minor'!H504</f>
        <v>5</v>
      </c>
      <c r="K251" s="432">
        <f t="shared" si="17"/>
        <v>450.04226190476192</v>
      </c>
    </row>
    <row r="252" spans="1:11" s="432" customFormat="1" ht="17.100000000000001" customHeight="1" x14ac:dyDescent="0.25">
      <c r="A252" s="166">
        <v>28</v>
      </c>
      <c r="B252" s="433" t="s">
        <v>400</v>
      </c>
      <c r="C252" s="137">
        <f>'Office Minor'!C517</f>
        <v>0</v>
      </c>
      <c r="D252" s="137">
        <f>'Office Minor'!D517</f>
        <v>0</v>
      </c>
      <c r="E252" s="137">
        <f>'Office Minor'!E517</f>
        <v>0</v>
      </c>
      <c r="F252" s="137">
        <f>'Office Minor'!F517</f>
        <v>0</v>
      </c>
      <c r="G252" s="137">
        <f>'Office Minor'!G517</f>
        <v>0</v>
      </c>
      <c r="H252" s="137">
        <f>'Office Minor'!H517</f>
        <v>0</v>
      </c>
      <c r="K252" s="432" t="e">
        <f t="shared" si="17"/>
        <v>#DIV/0!</v>
      </c>
    </row>
    <row r="253" spans="1:11" s="432" customFormat="1" ht="17.100000000000001" customHeight="1" x14ac:dyDescent="0.25">
      <c r="A253" s="166">
        <v>29</v>
      </c>
      <c r="B253" s="433" t="s">
        <v>89</v>
      </c>
      <c r="C253" s="166">
        <f>'Office Minor'!C533</f>
        <v>0</v>
      </c>
      <c r="D253" s="166">
        <f>'Office Minor'!D533</f>
        <v>0</v>
      </c>
      <c r="E253" s="166">
        <f>'Office Minor'!E533</f>
        <v>0</v>
      </c>
      <c r="F253" s="166">
        <f>'Office Minor'!F533</f>
        <v>0</v>
      </c>
      <c r="G253" s="166">
        <f>'Office Minor'!G533</f>
        <v>0</v>
      </c>
      <c r="H253" s="166">
        <f>'Office Minor'!H533</f>
        <v>0</v>
      </c>
      <c r="K253" s="432" t="e">
        <f t="shared" si="17"/>
        <v>#DIV/0!</v>
      </c>
    </row>
    <row r="254" spans="1:11" s="432" customFormat="1" ht="17.100000000000001" customHeight="1" x14ac:dyDescent="0.25">
      <c r="A254" s="166">
        <v>30</v>
      </c>
      <c r="B254" s="433" t="s">
        <v>108</v>
      </c>
      <c r="C254" s="63">
        <f>'Office Minor'!C554</f>
        <v>4</v>
      </c>
      <c r="D254" s="63">
        <f>'Office Minor'!D554</f>
        <v>3.6</v>
      </c>
      <c r="E254" s="63">
        <f>'Office Minor'!E554</f>
        <v>27622</v>
      </c>
      <c r="F254" s="63">
        <f>'Office Minor'!F554</f>
        <v>15192100</v>
      </c>
      <c r="G254" s="63">
        <f>'Office Minor'!G554</f>
        <v>4972000</v>
      </c>
      <c r="H254" s="63">
        <f>'Office Minor'!H554</f>
        <v>50</v>
      </c>
      <c r="K254" s="432">
        <f t="shared" si="17"/>
        <v>550</v>
      </c>
    </row>
    <row r="255" spans="1:11" s="432" customFormat="1" ht="17.100000000000001" customHeight="1" x14ac:dyDescent="0.25">
      <c r="A255" s="166">
        <v>31</v>
      </c>
      <c r="B255" s="214" t="s">
        <v>111</v>
      </c>
      <c r="C255" s="137">
        <f>'Office Minor'!C569</f>
        <v>0</v>
      </c>
      <c r="D255" s="137">
        <f>'Office Minor'!D569</f>
        <v>0</v>
      </c>
      <c r="E255" s="137">
        <f>'Office Minor'!E569</f>
        <v>0</v>
      </c>
      <c r="F255" s="137">
        <f>'Office Minor'!F569</f>
        <v>0</v>
      </c>
      <c r="G255" s="137">
        <f>'Office Minor'!G569</f>
        <v>0</v>
      </c>
      <c r="H255" s="137">
        <f>'Office Minor'!H569</f>
        <v>0</v>
      </c>
      <c r="K255" s="432" t="e">
        <f t="shared" si="17"/>
        <v>#DIV/0!</v>
      </c>
    </row>
    <row r="256" spans="1:11" s="432" customFormat="1" ht="17.100000000000001" customHeight="1" x14ac:dyDescent="0.25">
      <c r="A256" s="166">
        <v>32</v>
      </c>
      <c r="B256" s="433" t="s">
        <v>98</v>
      </c>
      <c r="C256" s="137">
        <f>'Office Minor'!C589</f>
        <v>0</v>
      </c>
      <c r="D256" s="137">
        <f>'Office Minor'!D589</f>
        <v>0</v>
      </c>
      <c r="E256" s="137">
        <f>'Office Minor'!E589</f>
        <v>0</v>
      </c>
      <c r="F256" s="137">
        <f>'Office Minor'!F589</f>
        <v>0</v>
      </c>
      <c r="G256" s="137">
        <f>'Office Minor'!G589</f>
        <v>1757000</v>
      </c>
      <c r="H256" s="137">
        <f>'Office Minor'!H589</f>
        <v>0</v>
      </c>
      <c r="K256" s="432" t="e">
        <f t="shared" si="17"/>
        <v>#DIV/0!</v>
      </c>
    </row>
    <row r="257" spans="1:11" s="432" customFormat="1" ht="17.100000000000001" customHeight="1" x14ac:dyDescent="0.25">
      <c r="A257" s="166">
        <v>33</v>
      </c>
      <c r="B257" s="433" t="s">
        <v>90</v>
      </c>
      <c r="C257" s="137">
        <f>'Office Minor'!C603</f>
        <v>2</v>
      </c>
      <c r="D257" s="137">
        <f>'Office Minor'!D603</f>
        <v>1262.68</v>
      </c>
      <c r="E257" s="137">
        <f>'Office Minor'!E603</f>
        <v>0</v>
      </c>
      <c r="F257" s="137">
        <f>'Office Minor'!F603</f>
        <v>0</v>
      </c>
      <c r="G257" s="137">
        <f>'Office Minor'!G603</f>
        <v>0</v>
      </c>
      <c r="H257" s="137">
        <f>'Office Minor'!H603</f>
        <v>0</v>
      </c>
      <c r="K257" s="432" t="e">
        <f t="shared" si="17"/>
        <v>#DIV/0!</v>
      </c>
    </row>
    <row r="258" spans="1:11" s="432" customFormat="1" ht="17.100000000000001" customHeight="1" x14ac:dyDescent="0.25">
      <c r="A258" s="166">
        <v>34</v>
      </c>
      <c r="B258" s="433" t="s">
        <v>120</v>
      </c>
      <c r="C258" s="204">
        <f>'Office Minor'!C620</f>
        <v>1</v>
      </c>
      <c r="D258" s="204">
        <f>'Office Minor'!D620</f>
        <v>200</v>
      </c>
      <c r="E258" s="204">
        <f>'Office Minor'!E620</f>
        <v>0</v>
      </c>
      <c r="F258" s="204">
        <f>'Office Minor'!F620</f>
        <v>0</v>
      </c>
      <c r="G258" s="204">
        <f>'Office Minor'!G620</f>
        <v>0</v>
      </c>
      <c r="H258" s="204">
        <f>'Office Minor'!H620</f>
        <v>0</v>
      </c>
      <c r="K258" s="432" t="e">
        <f t="shared" si="17"/>
        <v>#DIV/0!</v>
      </c>
    </row>
    <row r="259" spans="1:11" s="432" customFormat="1" ht="17.100000000000001" customHeight="1" x14ac:dyDescent="0.25">
      <c r="A259" s="166">
        <v>35</v>
      </c>
      <c r="B259" s="433" t="s">
        <v>99</v>
      </c>
      <c r="C259" s="137">
        <f>'Office Minor'!C660</f>
        <v>0</v>
      </c>
      <c r="D259" s="137">
        <f>'Office Minor'!D660</f>
        <v>0</v>
      </c>
      <c r="E259" s="137">
        <f>'Office Minor'!E660</f>
        <v>0</v>
      </c>
      <c r="F259" s="137">
        <f>'Office Minor'!F660</f>
        <v>0</v>
      </c>
      <c r="G259" s="137">
        <f>'Office Minor'!G660</f>
        <v>0</v>
      </c>
      <c r="H259" s="137">
        <f>'Office Minor'!H660</f>
        <v>0</v>
      </c>
      <c r="K259" s="432" t="e">
        <f t="shared" si="17"/>
        <v>#DIV/0!</v>
      </c>
    </row>
    <row r="260" spans="1:11" s="432" customFormat="1" ht="17.100000000000001" customHeight="1" x14ac:dyDescent="0.25">
      <c r="A260" s="166">
        <v>36</v>
      </c>
      <c r="B260" s="433" t="s">
        <v>125</v>
      </c>
      <c r="C260" s="143">
        <f>'Office Minor'!C675</f>
        <v>2</v>
      </c>
      <c r="D260" s="143">
        <f>'Office Minor'!D675</f>
        <v>1081.05</v>
      </c>
      <c r="E260" s="143">
        <f>'Office Minor'!E675</f>
        <v>2077748</v>
      </c>
      <c r="F260" s="143">
        <f>'Office Minor'!F675</f>
        <v>1142761681</v>
      </c>
      <c r="G260" s="143">
        <f>'Office Minor'!G675</f>
        <v>137110910</v>
      </c>
      <c r="H260" s="143">
        <f>'Office Minor'!H675</f>
        <v>350</v>
      </c>
      <c r="K260" s="432">
        <f t="shared" si="17"/>
        <v>550.00013524257997</v>
      </c>
    </row>
    <row r="261" spans="1:11" s="432" customFormat="1" ht="17.100000000000001" customHeight="1" x14ac:dyDescent="0.25">
      <c r="A261" s="166">
        <v>37</v>
      </c>
      <c r="B261" s="214" t="s">
        <v>376</v>
      </c>
      <c r="C261" s="206">
        <f>'Office Minor'!C694</f>
        <v>3</v>
      </c>
      <c r="D261" s="206">
        <f>'Office Minor'!D694</f>
        <v>1801.71</v>
      </c>
      <c r="E261" s="206">
        <f>'Office Minor'!E694</f>
        <v>544796</v>
      </c>
      <c r="F261" s="206">
        <f>'Office Minor'!F694</f>
        <v>299637800</v>
      </c>
      <c r="G261" s="206">
        <f>'Office Minor'!G694</f>
        <v>24515820</v>
      </c>
      <c r="H261" s="206">
        <f>'Office Minor'!H694</f>
        <v>250</v>
      </c>
      <c r="K261" s="432">
        <f t="shared" si="17"/>
        <v>550</v>
      </c>
    </row>
    <row r="262" spans="1:11" s="432" customFormat="1" ht="17.100000000000001" customHeight="1" x14ac:dyDescent="0.25">
      <c r="A262" s="166">
        <v>38</v>
      </c>
      <c r="B262" s="433" t="s">
        <v>100</v>
      </c>
      <c r="C262" s="236">
        <f>'Office Minor'!C713</f>
        <v>0</v>
      </c>
      <c r="D262" s="236">
        <f>'Office Minor'!D713</f>
        <v>0</v>
      </c>
      <c r="E262" s="236">
        <f>'Office Minor'!E713</f>
        <v>0</v>
      </c>
      <c r="F262" s="236">
        <f>'Office Minor'!F713</f>
        <v>0</v>
      </c>
      <c r="G262" s="236">
        <f>'Office Minor'!G713</f>
        <v>0</v>
      </c>
      <c r="H262" s="236">
        <f>'Office Minor'!H713</f>
        <v>0</v>
      </c>
      <c r="K262" s="432" t="e">
        <f t="shared" si="17"/>
        <v>#DIV/0!</v>
      </c>
    </row>
    <row r="263" spans="1:11" s="432" customFormat="1" ht="17.100000000000001" customHeight="1" x14ac:dyDescent="0.25">
      <c r="A263" s="166">
        <v>39</v>
      </c>
      <c r="B263" s="433" t="s">
        <v>91</v>
      </c>
      <c r="C263" s="204">
        <f>'Office Minor'!C735</f>
        <v>1</v>
      </c>
      <c r="D263" s="204">
        <f>'Office Minor'!D735</f>
        <v>2526.88</v>
      </c>
      <c r="E263" s="204">
        <f>'Office Minor'!E735</f>
        <v>674152</v>
      </c>
      <c r="F263" s="204">
        <f>'Office Minor'!F735</f>
        <v>303368279</v>
      </c>
      <c r="G263" s="204">
        <f>'Office Minor'!G735</f>
        <v>107043126</v>
      </c>
      <c r="H263" s="204">
        <f>'Office Minor'!H735</f>
        <v>550</v>
      </c>
      <c r="K263" s="432">
        <f t="shared" si="17"/>
        <v>449.99982051525473</v>
      </c>
    </row>
    <row r="264" spans="1:11" s="432" customFormat="1" ht="17.100000000000001" customHeight="1" x14ac:dyDescent="0.25">
      <c r="A264" s="166">
        <v>40</v>
      </c>
      <c r="B264" s="433" t="s">
        <v>139</v>
      </c>
      <c r="C264" s="143">
        <f>'Office Minor'!C752</f>
        <v>5</v>
      </c>
      <c r="D264" s="143">
        <f>'Office Minor'!D752</f>
        <v>19484</v>
      </c>
      <c r="E264" s="143">
        <f>'Office Minor'!E752</f>
        <v>1278423</v>
      </c>
      <c r="F264" s="143">
        <f>'Office Minor'!F752</f>
        <v>703133029</v>
      </c>
      <c r="G264" s="143">
        <f>'Office Minor'!G752</f>
        <v>94893323</v>
      </c>
      <c r="H264" s="143">
        <f>'Office Minor'!H752</f>
        <v>150</v>
      </c>
      <c r="K264" s="432">
        <f t="shared" ref="K264:K327" si="20">F264/E264</f>
        <v>550.00029645899679</v>
      </c>
    </row>
    <row r="265" spans="1:11" s="432" customFormat="1" ht="17.100000000000001" customHeight="1" x14ac:dyDescent="0.25">
      <c r="A265" s="166">
        <v>41</v>
      </c>
      <c r="B265" s="433" t="s">
        <v>116</v>
      </c>
      <c r="C265" s="63">
        <f>'Office Minor'!C780</f>
        <v>5</v>
      </c>
      <c r="D265" s="63">
        <f>'Office Minor'!D780</f>
        <v>3878.29</v>
      </c>
      <c r="E265" s="63">
        <f>'Office Minor'!E780</f>
        <v>8198010</v>
      </c>
      <c r="F265" s="63">
        <f>'Office Minor'!F780</f>
        <v>4508905500</v>
      </c>
      <c r="G265" s="63">
        <f>'Office Minor'!G780</f>
        <v>409900480</v>
      </c>
      <c r="H265" s="63">
        <f>'Office Minor'!H780</f>
        <v>150</v>
      </c>
      <c r="K265" s="432">
        <f t="shared" si="20"/>
        <v>550</v>
      </c>
    </row>
    <row r="266" spans="1:11" s="432" customFormat="1" ht="17.100000000000001" customHeight="1" x14ac:dyDescent="0.25">
      <c r="A266" s="166">
        <v>42</v>
      </c>
      <c r="B266" s="433" t="s">
        <v>83</v>
      </c>
      <c r="C266" s="137">
        <f>'Office Minor'!C798</f>
        <v>0</v>
      </c>
      <c r="D266" s="137">
        <f>'Office Minor'!D798</f>
        <v>0</v>
      </c>
      <c r="E266" s="137">
        <f>'Office Minor'!E798</f>
        <v>0</v>
      </c>
      <c r="F266" s="137">
        <f>'Office Minor'!F798</f>
        <v>0</v>
      </c>
      <c r="G266" s="137">
        <f>'Office Minor'!G798</f>
        <v>0</v>
      </c>
      <c r="H266" s="137">
        <f>'Office Minor'!H798</f>
        <v>0</v>
      </c>
      <c r="K266" s="432" t="e">
        <f t="shared" si="20"/>
        <v>#DIV/0!</v>
      </c>
    </row>
    <row r="267" spans="1:11" s="432" customFormat="1" ht="17.100000000000001" customHeight="1" x14ac:dyDescent="0.25">
      <c r="A267" s="258"/>
      <c r="B267" s="258" t="s">
        <v>50</v>
      </c>
      <c r="C267" s="258">
        <f>SUM(C225:C266)</f>
        <v>166</v>
      </c>
      <c r="D267" s="258">
        <f t="shared" ref="D267:H267" si="21">SUM(D225:D266)</f>
        <v>65555.348799999992</v>
      </c>
      <c r="E267" s="258">
        <f t="shared" si="21"/>
        <v>24929373.481111109</v>
      </c>
      <c r="F267" s="258">
        <f t="shared" si="21"/>
        <v>12856435102.611111</v>
      </c>
      <c r="G267" s="258">
        <f t="shared" si="21"/>
        <v>1884289371.5999999</v>
      </c>
      <c r="H267" s="258">
        <f t="shared" si="21"/>
        <v>4255</v>
      </c>
      <c r="K267" s="432">
        <f t="shared" si="20"/>
        <v>515.71432841472665</v>
      </c>
    </row>
    <row r="268" spans="1:11" s="432" customFormat="1" ht="17.100000000000001" customHeight="1" x14ac:dyDescent="0.25">
      <c r="A268" s="31"/>
      <c r="B268" s="31"/>
      <c r="C268" s="451"/>
      <c r="D268" s="452"/>
      <c r="E268" s="386"/>
      <c r="F268" s="451"/>
      <c r="G268" s="386"/>
      <c r="H268" s="386"/>
      <c r="K268" s="432" t="e">
        <f t="shared" si="20"/>
        <v>#DIV/0!</v>
      </c>
    </row>
    <row r="269" spans="1:11" s="432" customFormat="1" ht="17.100000000000001" customHeight="1" x14ac:dyDescent="0.25">
      <c r="A269" s="31"/>
      <c r="B269" s="31"/>
      <c r="C269" s="451"/>
      <c r="D269" s="452"/>
      <c r="E269" s="386"/>
      <c r="F269" s="451"/>
      <c r="G269" s="386"/>
      <c r="H269" s="386"/>
      <c r="K269" s="432" t="e">
        <f t="shared" si="20"/>
        <v>#DIV/0!</v>
      </c>
    </row>
    <row r="270" spans="1:11" s="432" customFormat="1" ht="17.100000000000001" customHeight="1" x14ac:dyDescent="0.25">
      <c r="A270" s="1149" t="s">
        <v>60</v>
      </c>
      <c r="B270" s="1149"/>
      <c r="C270" s="1149"/>
      <c r="D270" s="1149"/>
      <c r="E270" s="1149"/>
      <c r="F270" s="1149"/>
      <c r="G270" s="1149"/>
      <c r="H270" s="1149"/>
      <c r="K270" s="432" t="e">
        <f t="shared" si="20"/>
        <v>#DIV/0!</v>
      </c>
    </row>
    <row r="271" spans="1:11" s="432" customFormat="1" ht="17.100000000000001" customHeight="1" x14ac:dyDescent="0.25">
      <c r="A271" s="1122" t="s">
        <v>2</v>
      </c>
      <c r="B271" s="1124" t="s">
        <v>77</v>
      </c>
      <c r="C271" s="249" t="s">
        <v>4</v>
      </c>
      <c r="D271" s="249" t="s">
        <v>5</v>
      </c>
      <c r="E271" s="249" t="s">
        <v>6</v>
      </c>
      <c r="F271" s="249" t="s">
        <v>7</v>
      </c>
      <c r="G271" s="249" t="s">
        <v>8</v>
      </c>
      <c r="H271" s="249" t="s">
        <v>9</v>
      </c>
      <c r="K271" s="432" t="e">
        <f t="shared" si="20"/>
        <v>#VALUE!</v>
      </c>
    </row>
    <row r="272" spans="1:11" s="432" customFormat="1" ht="17.100000000000001" customHeight="1" x14ac:dyDescent="0.25">
      <c r="A272" s="1123"/>
      <c r="B272" s="1125"/>
      <c r="C272" s="2" t="s">
        <v>10</v>
      </c>
      <c r="D272" s="2" t="s">
        <v>52</v>
      </c>
      <c r="E272" s="2" t="s">
        <v>79</v>
      </c>
      <c r="F272" s="52" t="s">
        <v>80</v>
      </c>
      <c r="G272" s="52" t="s">
        <v>80</v>
      </c>
      <c r="H272" s="2" t="s">
        <v>13</v>
      </c>
      <c r="K272" s="432" t="e">
        <f t="shared" si="20"/>
        <v>#VALUE!</v>
      </c>
    </row>
    <row r="273" spans="1:11" s="432" customFormat="1" ht="17.100000000000001" customHeight="1" x14ac:dyDescent="0.25">
      <c r="A273" s="166">
        <v>1</v>
      </c>
      <c r="B273" s="464" t="s">
        <v>191</v>
      </c>
      <c r="C273" s="166">
        <f>'Office Minor'!C128</f>
        <v>4</v>
      </c>
      <c r="D273" s="166">
        <f>'Office Minor'!D128</f>
        <v>15.76</v>
      </c>
      <c r="E273" s="166">
        <f>'Office Minor'!E128</f>
        <v>41793</v>
      </c>
      <c r="F273" s="166">
        <f>'Office Minor'!F128</f>
        <v>14627550</v>
      </c>
      <c r="G273" s="166">
        <f>'Office Minor'!G128</f>
        <v>6060131</v>
      </c>
      <c r="H273" s="166">
        <f>'Office Minor'!H128</f>
        <v>14</v>
      </c>
      <c r="K273" s="432">
        <f t="shared" si="20"/>
        <v>350</v>
      </c>
    </row>
    <row r="274" spans="1:11" s="432" customFormat="1" ht="17.100000000000001" customHeight="1" x14ac:dyDescent="0.25">
      <c r="A274" s="166">
        <v>2</v>
      </c>
      <c r="B274" s="464" t="s">
        <v>86</v>
      </c>
      <c r="C274" s="166">
        <f>'Office Minor'!C46</f>
        <v>8</v>
      </c>
      <c r="D274" s="166">
        <f>'Office Minor'!D46</f>
        <v>22.67</v>
      </c>
      <c r="E274" s="166">
        <f>'Office Minor'!E46</f>
        <v>108549</v>
      </c>
      <c r="F274" s="166">
        <f>'Office Minor'!F46</f>
        <v>37992269</v>
      </c>
      <c r="G274" s="166">
        <f>'Office Minor'!G46</f>
        <v>15739654</v>
      </c>
      <c r="H274" s="166">
        <f>'Office Minor'!H46</f>
        <v>1000</v>
      </c>
      <c r="K274" s="432">
        <f t="shared" si="20"/>
        <v>350.00109627909978</v>
      </c>
    </row>
    <row r="275" spans="1:11" s="432" customFormat="1" ht="17.100000000000001" customHeight="1" x14ac:dyDescent="0.25">
      <c r="A275" s="166">
        <v>3</v>
      </c>
      <c r="B275" s="433" t="s">
        <v>150</v>
      </c>
      <c r="C275" s="137">
        <f>'Office Minor'!C75</f>
        <v>3</v>
      </c>
      <c r="D275" s="137">
        <f>'Office Minor'!D75</f>
        <v>3.86</v>
      </c>
      <c r="E275" s="137">
        <f>'Office Minor'!E75</f>
        <v>2616</v>
      </c>
      <c r="F275" s="137">
        <f>'Office Minor'!F75</f>
        <v>928722</v>
      </c>
      <c r="G275" s="137">
        <f>'Office Minor'!G75</f>
        <v>379337</v>
      </c>
      <c r="H275" s="137">
        <f>'Office Minor'!H75</f>
        <v>10</v>
      </c>
      <c r="K275" s="432">
        <f t="shared" si="20"/>
        <v>355.01605504587155</v>
      </c>
    </row>
    <row r="276" spans="1:11" s="432" customFormat="1" ht="17.100000000000001" customHeight="1" x14ac:dyDescent="0.25">
      <c r="A276" s="166">
        <v>4</v>
      </c>
      <c r="B276" s="433" t="s">
        <v>81</v>
      </c>
      <c r="C276" s="137">
        <f>'Office Minor'!C170</f>
        <v>5</v>
      </c>
      <c r="D276" s="137">
        <f>'Office Minor'!D170</f>
        <v>4.0599999999999996</v>
      </c>
      <c r="E276" s="137">
        <f>'Office Minor'!E170</f>
        <v>89052</v>
      </c>
      <c r="F276" s="137">
        <f>'Office Minor'!F170</f>
        <v>31168200</v>
      </c>
      <c r="G276" s="137">
        <f>'Office Minor'!G170</f>
        <v>12647284</v>
      </c>
      <c r="H276" s="137">
        <f>'Office Minor'!H170</f>
        <v>20</v>
      </c>
      <c r="K276" s="432">
        <f t="shared" si="20"/>
        <v>350</v>
      </c>
    </row>
    <row r="277" spans="1:11" s="432" customFormat="1" ht="17.100000000000001" customHeight="1" x14ac:dyDescent="0.25">
      <c r="A277" s="166">
        <v>5</v>
      </c>
      <c r="B277" s="433" t="s">
        <v>96</v>
      </c>
      <c r="C277" s="63">
        <f>'Office Minor'!C194</f>
        <v>12</v>
      </c>
      <c r="D277" s="63">
        <f>'Office Minor'!D194</f>
        <v>48.79</v>
      </c>
      <c r="E277" s="63">
        <f>'Office Minor'!E194</f>
        <v>301471</v>
      </c>
      <c r="F277" s="63">
        <f>'Office Minor'!F194</f>
        <v>105514850</v>
      </c>
      <c r="G277" s="63">
        <f>'Office Minor'!G194</f>
        <v>3902453</v>
      </c>
      <c r="H277" s="63">
        <f>'Office Minor'!H194</f>
        <v>72</v>
      </c>
      <c r="K277" s="432">
        <f t="shared" si="20"/>
        <v>350</v>
      </c>
    </row>
    <row r="278" spans="1:11" s="432" customFormat="1" ht="17.100000000000001" customHeight="1" x14ac:dyDescent="0.25">
      <c r="A278" s="166">
        <v>6</v>
      </c>
      <c r="B278" s="433" t="s">
        <v>142</v>
      </c>
      <c r="C278" s="204">
        <f>'Office Minor'!C219</f>
        <v>4</v>
      </c>
      <c r="D278" s="204">
        <f>'Office Minor'!D219</f>
        <v>10.28</v>
      </c>
      <c r="E278" s="204">
        <f>'Office Minor'!E219</f>
        <v>24000.99</v>
      </c>
      <c r="F278" s="204">
        <f>'Office Minor'!F219</f>
        <v>9360386</v>
      </c>
      <c r="G278" s="204">
        <f>'Office Minor'!G219</f>
        <v>3480143</v>
      </c>
      <c r="H278" s="204">
        <f>'Office Minor'!H219</f>
        <v>35</v>
      </c>
      <c r="K278" s="432">
        <f t="shared" si="20"/>
        <v>389.99999583350518</v>
      </c>
    </row>
    <row r="279" spans="1:11" s="432" customFormat="1" ht="17.100000000000001" customHeight="1" x14ac:dyDescent="0.25">
      <c r="A279" s="166">
        <v>7</v>
      </c>
      <c r="B279" s="433" t="s">
        <v>104</v>
      </c>
      <c r="C279" s="204">
        <f>'Office Minor'!C245</f>
        <v>1</v>
      </c>
      <c r="D279" s="204">
        <f>'Office Minor'!D245</f>
        <v>1</v>
      </c>
      <c r="E279" s="204">
        <f>'Office Minor'!E245</f>
        <v>0</v>
      </c>
      <c r="F279" s="204">
        <f>'Office Minor'!F245</f>
        <v>0</v>
      </c>
      <c r="G279" s="204">
        <f>'Office Minor'!G245</f>
        <v>0</v>
      </c>
      <c r="H279" s="204">
        <f>'Office Minor'!H245</f>
        <v>0</v>
      </c>
      <c r="K279" s="432" t="e">
        <f t="shared" si="20"/>
        <v>#DIV/0!</v>
      </c>
    </row>
    <row r="280" spans="1:11" s="432" customFormat="1" ht="17.100000000000001" customHeight="1" x14ac:dyDescent="0.25">
      <c r="A280" s="166">
        <v>8</v>
      </c>
      <c r="B280" s="433" t="s">
        <v>105</v>
      </c>
      <c r="C280" s="63">
        <f>'Office Minor'!C315</f>
        <v>42</v>
      </c>
      <c r="D280" s="63">
        <f>'Office Minor'!D315</f>
        <v>5028.84</v>
      </c>
      <c r="E280" s="63">
        <f>'Office Minor'!E315</f>
        <v>1882740</v>
      </c>
      <c r="F280" s="63">
        <f>'Office Minor'!F315</f>
        <v>753096148</v>
      </c>
      <c r="G280" s="63">
        <f>'Office Minor'!G315</f>
        <v>368123874</v>
      </c>
      <c r="H280" s="63">
        <f>'Office Minor'!H315</f>
        <v>785</v>
      </c>
      <c r="K280" s="432">
        <f t="shared" si="20"/>
        <v>400.00007860883608</v>
      </c>
    </row>
    <row r="281" spans="1:11" s="432" customFormat="1" ht="17.100000000000001" customHeight="1" x14ac:dyDescent="0.25">
      <c r="A281" s="166">
        <v>9</v>
      </c>
      <c r="B281" s="433" t="s">
        <v>87</v>
      </c>
      <c r="C281" s="137">
        <f>'Office Minor'!C363</f>
        <v>4</v>
      </c>
      <c r="D281" s="137">
        <f>'Office Minor'!D363</f>
        <v>11</v>
      </c>
      <c r="E281" s="137">
        <f>'Office Minor'!E363</f>
        <v>0</v>
      </c>
      <c r="F281" s="137">
        <f>'Office Minor'!F363</f>
        <v>0</v>
      </c>
      <c r="G281" s="137">
        <f>'Office Minor'!G363</f>
        <v>0</v>
      </c>
      <c r="H281" s="137">
        <f>'Office Minor'!H363</f>
        <v>0</v>
      </c>
      <c r="K281" s="432" t="e">
        <f t="shared" si="20"/>
        <v>#DIV/0!</v>
      </c>
    </row>
    <row r="282" spans="1:11" s="432" customFormat="1" ht="17.100000000000001" customHeight="1" x14ac:dyDescent="0.25">
      <c r="A282" s="166">
        <v>10</v>
      </c>
      <c r="B282" s="433" t="s">
        <v>128</v>
      </c>
      <c r="C282" s="255">
        <f>'Office Minor'!C400</f>
        <v>0</v>
      </c>
      <c r="D282" s="255">
        <f>'Office Minor'!D400</f>
        <v>0</v>
      </c>
      <c r="E282" s="255">
        <f>'Office Minor'!E400</f>
        <v>0</v>
      </c>
      <c r="F282" s="255">
        <f>'Office Minor'!F400</f>
        <v>0</v>
      </c>
      <c r="G282" s="255">
        <f>'Office Minor'!G400</f>
        <v>0</v>
      </c>
      <c r="H282" s="255">
        <f>'Office Minor'!H400</f>
        <v>0</v>
      </c>
      <c r="K282" s="432" t="e">
        <f t="shared" si="20"/>
        <v>#DIV/0!</v>
      </c>
    </row>
    <row r="283" spans="1:11" s="432" customFormat="1" ht="17.100000000000001" customHeight="1" x14ac:dyDescent="0.25">
      <c r="A283" s="166">
        <v>11</v>
      </c>
      <c r="B283" s="433" t="s">
        <v>143</v>
      </c>
      <c r="C283" s="143">
        <f>'Office Minor'!C411</f>
        <v>1</v>
      </c>
      <c r="D283" s="143">
        <f>'Office Minor'!D411</f>
        <v>4.83</v>
      </c>
      <c r="E283" s="143">
        <f>'Office Minor'!E411</f>
        <v>612</v>
      </c>
      <c r="F283" s="143">
        <f>'Office Minor'!F411</f>
        <v>214285</v>
      </c>
      <c r="G283" s="143">
        <f>'Office Minor'!G411</f>
        <v>60000</v>
      </c>
      <c r="H283" s="143">
        <f>'Office Minor'!H411</f>
        <v>40</v>
      </c>
      <c r="K283" s="432">
        <f t="shared" si="20"/>
        <v>350.13888888888891</v>
      </c>
    </row>
    <row r="284" spans="1:11" s="432" customFormat="1" ht="17.100000000000001" customHeight="1" x14ac:dyDescent="0.25">
      <c r="A284" s="166">
        <v>12</v>
      </c>
      <c r="B284" s="433" t="s">
        <v>118</v>
      </c>
      <c r="C284" s="63">
        <f>'Office Minor'!C430</f>
        <v>98</v>
      </c>
      <c r="D284" s="63">
        <f>'Office Minor'!D430</f>
        <v>1317.71</v>
      </c>
      <c r="E284" s="63">
        <f>'Office Minor'!E430</f>
        <v>4282588</v>
      </c>
      <c r="F284" s="63">
        <f>'Office Minor'!F430</f>
        <v>1498905937</v>
      </c>
      <c r="G284" s="63">
        <f>'Office Minor'!G430</f>
        <v>466854000</v>
      </c>
      <c r="H284" s="63">
        <f>'Office Minor'!H430</f>
        <v>599</v>
      </c>
      <c r="K284" s="432">
        <f t="shared" si="20"/>
        <v>350.0000319900023</v>
      </c>
    </row>
    <row r="285" spans="1:11" s="432" customFormat="1" ht="17.100000000000001" customHeight="1" x14ac:dyDescent="0.25">
      <c r="A285" s="166">
        <v>13</v>
      </c>
      <c r="B285" s="433" t="s">
        <v>119</v>
      </c>
      <c r="C285" s="198">
        <f>'Office Minor'!C465</f>
        <v>5</v>
      </c>
      <c r="D285" s="198">
        <f>'Office Minor'!D465</f>
        <v>9.52</v>
      </c>
      <c r="E285" s="198">
        <f>'Office Minor'!E465</f>
        <v>1836</v>
      </c>
      <c r="F285" s="198">
        <f>'Office Minor'!F465</f>
        <v>642857</v>
      </c>
      <c r="G285" s="198">
        <f>'Office Minor'!G465</f>
        <v>180000</v>
      </c>
      <c r="H285" s="198">
        <f>'Office Minor'!H465</f>
        <v>10</v>
      </c>
      <c r="K285" s="432">
        <f t="shared" si="20"/>
        <v>350.13997821350762</v>
      </c>
    </row>
    <row r="286" spans="1:11" s="432" customFormat="1" ht="17.100000000000001" customHeight="1" x14ac:dyDescent="0.25">
      <c r="A286" s="166">
        <v>14</v>
      </c>
      <c r="B286" s="433" t="s">
        <v>120</v>
      </c>
      <c r="C286" s="198">
        <f>'Office Minor'!C622</f>
        <v>34</v>
      </c>
      <c r="D286" s="198">
        <f>'Office Minor'!D622</f>
        <v>1265.1300000000001</v>
      </c>
      <c r="E286" s="198">
        <f>'Office Minor'!E622</f>
        <v>2526730</v>
      </c>
      <c r="F286" s="198">
        <f>'Office Minor'!F622</f>
        <v>909622792</v>
      </c>
      <c r="G286" s="198">
        <f>'Office Minor'!G622</f>
        <v>111760719</v>
      </c>
      <c r="H286" s="198">
        <f>'Office Minor'!H622</f>
        <v>100</v>
      </c>
      <c r="K286" s="432">
        <f t="shared" si="20"/>
        <v>359.99999683385244</v>
      </c>
    </row>
    <row r="287" spans="1:11" s="432" customFormat="1" ht="17.100000000000001" customHeight="1" x14ac:dyDescent="0.25">
      <c r="A287" s="166">
        <v>15</v>
      </c>
      <c r="B287" s="433" t="s">
        <v>107</v>
      </c>
      <c r="C287" s="63">
        <f>'Office Minor'!C512</f>
        <v>164</v>
      </c>
      <c r="D287" s="63">
        <f>'Office Minor'!D512</f>
        <v>1216.17</v>
      </c>
      <c r="E287" s="63">
        <f>'Office Minor'!E512</f>
        <v>6341382</v>
      </c>
      <c r="F287" s="63">
        <f>'Office Minor'!F512</f>
        <v>2282897520</v>
      </c>
      <c r="G287" s="63">
        <f>'Office Minor'!G512</f>
        <v>585225939</v>
      </c>
      <c r="H287" s="63">
        <f>'Office Minor'!H512</f>
        <v>400</v>
      </c>
      <c r="K287" s="432">
        <f t="shared" si="20"/>
        <v>360</v>
      </c>
    </row>
    <row r="288" spans="1:11" s="432" customFormat="1" ht="17.100000000000001" customHeight="1" x14ac:dyDescent="0.25">
      <c r="A288" s="166">
        <v>16</v>
      </c>
      <c r="B288" s="433" t="s">
        <v>108</v>
      </c>
      <c r="C288" s="63">
        <f>'Office Minor'!C548</f>
        <v>1</v>
      </c>
      <c r="D288" s="63">
        <f>'Office Minor'!D548</f>
        <v>119</v>
      </c>
      <c r="E288" s="63">
        <f>'Office Minor'!E548</f>
        <v>26112</v>
      </c>
      <c r="F288" s="63">
        <f>'Office Minor'!F548</f>
        <v>9139228</v>
      </c>
      <c r="G288" s="63">
        <f>'Office Minor'!G548</f>
        <v>3789790</v>
      </c>
      <c r="H288" s="63">
        <f>'Office Minor'!H548</f>
        <v>500</v>
      </c>
      <c r="K288" s="432">
        <f t="shared" si="20"/>
        <v>350.00107230392155</v>
      </c>
    </row>
    <row r="289" spans="1:11" s="432" customFormat="1" ht="17.100000000000001" customHeight="1" x14ac:dyDescent="0.25">
      <c r="A289" s="166">
        <v>17</v>
      </c>
      <c r="B289" s="214" t="s">
        <v>111</v>
      </c>
      <c r="C289" s="137">
        <f>'Office Minor'!C566</f>
        <v>7</v>
      </c>
      <c r="D289" s="137">
        <f>'Office Minor'!D566</f>
        <v>6.48</v>
      </c>
      <c r="E289" s="137">
        <f>'Office Minor'!E566</f>
        <v>40.94</v>
      </c>
      <c r="F289" s="137">
        <f>'Office Minor'!F566</f>
        <v>14329</v>
      </c>
      <c r="G289" s="137">
        <f>'Office Minor'!G566</f>
        <v>4012.12</v>
      </c>
      <c r="H289" s="137">
        <f>'Office Minor'!H566</f>
        <v>10</v>
      </c>
      <c r="K289" s="432">
        <f t="shared" si="20"/>
        <v>350</v>
      </c>
    </row>
    <row r="290" spans="1:11" s="432" customFormat="1" ht="17.100000000000001" customHeight="1" x14ac:dyDescent="0.25">
      <c r="A290" s="166">
        <v>18</v>
      </c>
      <c r="B290" s="466" t="s">
        <v>139</v>
      </c>
      <c r="C290" s="206">
        <f>'Office Minor'!C747</f>
        <v>46</v>
      </c>
      <c r="D290" s="206">
        <f>'Office Minor'!D747</f>
        <v>2042.15</v>
      </c>
      <c r="E290" s="206">
        <f>'Office Minor'!E747</f>
        <v>1799922</v>
      </c>
      <c r="F290" s="206">
        <f>'Office Minor'!F747</f>
        <v>647971952</v>
      </c>
      <c r="G290" s="206">
        <f>'Office Minor'!G747</f>
        <v>216822985</v>
      </c>
      <c r="H290" s="206">
        <f>'Office Minor'!H747</f>
        <v>750</v>
      </c>
      <c r="K290" s="432">
        <f t="shared" si="20"/>
        <v>360.00001777854817</v>
      </c>
    </row>
    <row r="291" spans="1:11" s="432" customFormat="1" ht="17.100000000000001" customHeight="1" x14ac:dyDescent="0.25">
      <c r="A291" s="166">
        <v>19</v>
      </c>
      <c r="B291" s="433" t="s">
        <v>83</v>
      </c>
      <c r="C291" s="137">
        <f>'Office Minor'!C795</f>
        <v>29</v>
      </c>
      <c r="D291" s="137">
        <f>'Office Minor'!D795</f>
        <v>29.38</v>
      </c>
      <c r="E291" s="137">
        <f>'Office Minor'!E795</f>
        <v>220487</v>
      </c>
      <c r="F291" s="137">
        <f>'Office Minor'!F795</f>
        <v>77170450</v>
      </c>
      <c r="G291" s="137">
        <f>'Office Minor'!G795</f>
        <v>2081350</v>
      </c>
      <c r="H291" s="137">
        <f>'Office Minor'!H795</f>
        <v>225</v>
      </c>
      <c r="K291" s="432">
        <f t="shared" si="20"/>
        <v>350</v>
      </c>
    </row>
    <row r="292" spans="1:11" s="432" customFormat="1" ht="17.100000000000001" customHeight="1" x14ac:dyDescent="0.25">
      <c r="A292" s="166">
        <v>20</v>
      </c>
      <c r="B292" s="433" t="s">
        <v>91</v>
      </c>
      <c r="C292" s="204">
        <f>'Office Minor'!C732</f>
        <v>5</v>
      </c>
      <c r="D292" s="204">
        <f>'Office Minor'!D732</f>
        <v>8.2200000000000006</v>
      </c>
      <c r="E292" s="204">
        <f>'Office Minor'!E732</f>
        <v>6320</v>
      </c>
      <c r="F292" s="204">
        <f>'Office Minor'!F732</f>
        <v>2212343</v>
      </c>
      <c r="G292" s="204">
        <f>'Office Minor'!G732</f>
        <v>644740</v>
      </c>
      <c r="H292" s="204">
        <f>'Office Minor'!H732</f>
        <v>220</v>
      </c>
      <c r="K292" s="432">
        <f t="shared" si="20"/>
        <v>350.05427215189872</v>
      </c>
    </row>
    <row r="293" spans="1:11" s="432" customFormat="1" ht="17.100000000000001" customHeight="1" x14ac:dyDescent="0.25">
      <c r="A293" s="1136" t="s">
        <v>50</v>
      </c>
      <c r="B293" s="1137"/>
      <c r="C293" s="258">
        <f>SUM(C273:C292)</f>
        <v>473</v>
      </c>
      <c r="D293" s="429">
        <f t="shared" ref="D293:H293" si="22">SUM(D273:D292)</f>
        <v>11164.849999999999</v>
      </c>
      <c r="E293" s="258">
        <f t="shared" si="22"/>
        <v>17656251.93</v>
      </c>
      <c r="F293" s="430">
        <f t="shared" si="22"/>
        <v>6381479818</v>
      </c>
      <c r="G293" s="430">
        <f>SUM(G273:G292)</f>
        <v>1797756411.1199999</v>
      </c>
      <c r="H293" s="258">
        <f t="shared" si="22"/>
        <v>4790</v>
      </c>
      <c r="K293" s="432">
        <f t="shared" si="20"/>
        <v>361.42890593655005</v>
      </c>
    </row>
    <row r="294" spans="1:11" s="432" customFormat="1" ht="17.100000000000001" customHeight="1" x14ac:dyDescent="0.25">
      <c r="A294" s="21"/>
      <c r="B294" s="21"/>
      <c r="C294" s="21"/>
      <c r="D294" s="40"/>
      <c r="E294" s="21"/>
      <c r="F294" s="21"/>
      <c r="G294" s="21"/>
      <c r="H294" s="21"/>
      <c r="K294" s="432" t="e">
        <f t="shared" si="20"/>
        <v>#DIV/0!</v>
      </c>
    </row>
    <row r="295" spans="1:11" s="432" customFormat="1" ht="17.100000000000001" customHeight="1" x14ac:dyDescent="0.25">
      <c r="A295" s="1149" t="s">
        <v>144</v>
      </c>
      <c r="B295" s="1149"/>
      <c r="C295" s="1149"/>
      <c r="D295" s="1149"/>
      <c r="E295" s="1149"/>
      <c r="F295" s="1149"/>
      <c r="G295" s="1149"/>
      <c r="H295" s="1149"/>
      <c r="K295" s="432" t="e">
        <f t="shared" si="20"/>
        <v>#DIV/0!</v>
      </c>
    </row>
    <row r="296" spans="1:11" s="432" customFormat="1" ht="17.100000000000001" customHeight="1" x14ac:dyDescent="0.25">
      <c r="A296" s="1122" t="s">
        <v>2</v>
      </c>
      <c r="B296" s="1124" t="s">
        <v>77</v>
      </c>
      <c r="C296" s="249" t="s">
        <v>4</v>
      </c>
      <c r="D296" s="249" t="s">
        <v>5</v>
      </c>
      <c r="E296" s="249" t="s">
        <v>6</v>
      </c>
      <c r="F296" s="249" t="s">
        <v>7</v>
      </c>
      <c r="G296" s="249" t="s">
        <v>8</v>
      </c>
      <c r="H296" s="249" t="s">
        <v>9</v>
      </c>
      <c r="K296" s="432" t="e">
        <f t="shared" si="20"/>
        <v>#VALUE!</v>
      </c>
    </row>
    <row r="297" spans="1:11" s="432" customFormat="1" ht="17.100000000000001" customHeight="1" x14ac:dyDescent="0.25">
      <c r="A297" s="1123"/>
      <c r="B297" s="1125"/>
      <c r="C297" s="2" t="s">
        <v>10</v>
      </c>
      <c r="D297" s="2" t="s">
        <v>52</v>
      </c>
      <c r="E297" s="2" t="s">
        <v>79</v>
      </c>
      <c r="F297" s="52" t="s">
        <v>80</v>
      </c>
      <c r="G297" s="52" t="s">
        <v>80</v>
      </c>
      <c r="H297" s="2" t="s">
        <v>13</v>
      </c>
      <c r="K297" s="432" t="e">
        <f t="shared" si="20"/>
        <v>#VALUE!</v>
      </c>
    </row>
    <row r="298" spans="1:11" s="432" customFormat="1" ht="17.100000000000001" customHeight="1" x14ac:dyDescent="0.25">
      <c r="A298" s="166">
        <v>1</v>
      </c>
      <c r="B298" s="433" t="s">
        <v>104</v>
      </c>
      <c r="C298" s="143">
        <f>'Office Minor'!C248</f>
        <v>0</v>
      </c>
      <c r="D298" s="143">
        <f>'Office Minor'!D248</f>
        <v>0</v>
      </c>
      <c r="E298" s="143">
        <f>'Office Minor'!E248</f>
        <v>662818</v>
      </c>
      <c r="F298" s="143">
        <f>'Office Minor'!F248</f>
        <v>695958900</v>
      </c>
      <c r="G298" s="143">
        <f>'Office Minor'!G248</f>
        <v>26266308</v>
      </c>
      <c r="H298" s="143">
        <f>'Office Minor'!H248</f>
        <v>50</v>
      </c>
      <c r="K298" s="432">
        <f t="shared" si="20"/>
        <v>1050</v>
      </c>
    </row>
    <row r="299" spans="1:11" s="432" customFormat="1" ht="17.100000000000001" customHeight="1" x14ac:dyDescent="0.25">
      <c r="A299" s="166">
        <v>2</v>
      </c>
      <c r="B299" s="433" t="s">
        <v>154</v>
      </c>
      <c r="C299" s="63">
        <f>'Office Minor'!C342</f>
        <v>209</v>
      </c>
      <c r="D299" s="63">
        <f>'Office Minor'!D342</f>
        <v>209.5</v>
      </c>
      <c r="E299" s="63">
        <f>'Office Minor'!E342</f>
        <v>106277.75999999999</v>
      </c>
      <c r="F299" s="63">
        <f>'Office Minor'!F342</f>
        <v>122219424</v>
      </c>
      <c r="G299" s="63">
        <f>'Office Minor'!G342</f>
        <v>33149560</v>
      </c>
      <c r="H299" s="63">
        <f>'Office Minor'!H342</f>
        <v>2450</v>
      </c>
      <c r="K299" s="432">
        <f t="shared" si="20"/>
        <v>1150</v>
      </c>
    </row>
    <row r="300" spans="1:11" s="432" customFormat="1" ht="17.100000000000001" customHeight="1" x14ac:dyDescent="0.25">
      <c r="A300" s="166">
        <v>3</v>
      </c>
      <c r="B300" s="433" t="s">
        <v>128</v>
      </c>
      <c r="C300" s="255">
        <f>'Office Minor'!C399</f>
        <v>69</v>
      </c>
      <c r="D300" s="255">
        <f>'Office Minor'!D399</f>
        <v>265.26</v>
      </c>
      <c r="E300" s="255">
        <f>'Office Minor'!E399</f>
        <v>1563424</v>
      </c>
      <c r="F300" s="255">
        <f>'Office Minor'!F399</f>
        <v>1755725152</v>
      </c>
      <c r="G300" s="255">
        <f>'Office Minor'!G399</f>
        <v>176666912</v>
      </c>
      <c r="H300" s="255">
        <f>'Office Minor'!H399</f>
        <v>758</v>
      </c>
      <c r="K300" s="432">
        <f t="shared" si="20"/>
        <v>1123</v>
      </c>
    </row>
    <row r="301" spans="1:11" s="432" customFormat="1" ht="17.100000000000001" customHeight="1" x14ac:dyDescent="0.25">
      <c r="A301" s="166">
        <v>4</v>
      </c>
      <c r="B301" s="433" t="s">
        <v>120</v>
      </c>
      <c r="C301" s="204">
        <f>'Office Minor'!C617</f>
        <v>15</v>
      </c>
      <c r="D301" s="204">
        <f>'Office Minor'!D617</f>
        <v>48.58</v>
      </c>
      <c r="E301" s="204">
        <f>'Office Minor'!E617</f>
        <v>50480</v>
      </c>
      <c r="F301" s="204">
        <f>'Office Minor'!F617</f>
        <v>58052920</v>
      </c>
      <c r="G301" s="204">
        <f>'Office Minor'!G617</f>
        <v>365706975</v>
      </c>
      <c r="H301" s="204">
        <f>'Office Minor'!H617</f>
        <v>100</v>
      </c>
      <c r="K301" s="432">
        <f t="shared" si="20"/>
        <v>1150.0182250396197</v>
      </c>
    </row>
    <row r="302" spans="1:11" s="432" customFormat="1" ht="17.100000000000001" customHeight="1" x14ac:dyDescent="0.25">
      <c r="A302" s="166">
        <v>5</v>
      </c>
      <c r="B302" s="433" t="s">
        <v>119</v>
      </c>
      <c r="C302" s="310">
        <f>'Office Minor'!C466</f>
        <v>2</v>
      </c>
      <c r="D302" s="310">
        <f>'Office Minor'!D466</f>
        <v>2</v>
      </c>
      <c r="E302" s="310">
        <f>'Office Minor'!E466</f>
        <v>0</v>
      </c>
      <c r="F302" s="310">
        <f>'Office Minor'!F466</f>
        <v>0</v>
      </c>
      <c r="G302" s="310">
        <f>'Office Minor'!G466</f>
        <v>0</v>
      </c>
      <c r="H302" s="310">
        <f>'Office Minor'!H466</f>
        <v>0</v>
      </c>
      <c r="K302" s="432" t="e">
        <f t="shared" si="20"/>
        <v>#DIV/0!</v>
      </c>
    </row>
    <row r="303" spans="1:11" s="432" customFormat="1" ht="17.100000000000001" customHeight="1" x14ac:dyDescent="0.25">
      <c r="A303" s="166">
        <v>6</v>
      </c>
      <c r="B303" s="433" t="s">
        <v>636</v>
      </c>
      <c r="C303" s="310">
        <f>'Office Minor'!C478</f>
        <v>5</v>
      </c>
      <c r="D303" s="310">
        <f>'Office Minor'!D478</f>
        <v>119.01</v>
      </c>
      <c r="E303" s="310">
        <f>'Office Minor'!E478</f>
        <v>48726</v>
      </c>
      <c r="F303" s="310">
        <f>'Office Minor'!F478</f>
        <v>56035943</v>
      </c>
      <c r="G303" s="310">
        <f>'Office Minor'!G478</f>
        <v>60252606</v>
      </c>
      <c r="H303" s="310">
        <f>'Office Minor'!H478</f>
        <v>35</v>
      </c>
      <c r="K303" s="432">
        <f t="shared" si="20"/>
        <v>1150.0214054098428</v>
      </c>
    </row>
    <row r="304" spans="1:11" s="432" customFormat="1" ht="17.100000000000001" customHeight="1" x14ac:dyDescent="0.25">
      <c r="A304" s="166">
        <v>7</v>
      </c>
      <c r="B304" s="433" t="s">
        <v>108</v>
      </c>
      <c r="C304" s="204">
        <f>'Office Minor'!C549</f>
        <v>0</v>
      </c>
      <c r="D304" s="204">
        <f>'Office Minor'!D549</f>
        <v>0</v>
      </c>
      <c r="E304" s="204">
        <f>'Office Minor'!E549</f>
        <v>1038</v>
      </c>
      <c r="F304" s="204">
        <f>'Office Minor'!F549</f>
        <v>1193298</v>
      </c>
      <c r="G304" s="204">
        <f>'Office Minor'!G549</f>
        <v>136377</v>
      </c>
      <c r="H304" s="204">
        <f>'Office Minor'!H549</f>
        <v>250</v>
      </c>
      <c r="K304" s="432">
        <f t="shared" si="20"/>
        <v>1149.6127167630059</v>
      </c>
    </row>
    <row r="305" spans="1:11" s="432" customFormat="1" ht="17.100000000000001" customHeight="1" x14ac:dyDescent="0.25">
      <c r="A305" s="166">
        <v>8</v>
      </c>
      <c r="B305" s="433" t="s">
        <v>91</v>
      </c>
      <c r="C305" s="204">
        <f>'Office Minor'!C733</f>
        <v>25</v>
      </c>
      <c r="D305" s="204">
        <f>'Office Minor'!D733</f>
        <v>23.82</v>
      </c>
      <c r="E305" s="204">
        <f>'Office Minor'!E733</f>
        <v>41212</v>
      </c>
      <c r="F305" s="204">
        <f>'Office Minor'!F733</f>
        <v>45333251</v>
      </c>
      <c r="G305" s="204">
        <f>'Office Minor'!G733</f>
        <v>15588610</v>
      </c>
      <c r="H305" s="204">
        <f>'Office Minor'!H733</f>
        <v>300</v>
      </c>
      <c r="K305" s="432">
        <f t="shared" si="20"/>
        <v>1100.0012375036397</v>
      </c>
    </row>
    <row r="306" spans="1:11" s="432" customFormat="1" ht="17.100000000000001" customHeight="1" x14ac:dyDescent="0.25">
      <c r="A306" s="1136" t="s">
        <v>50</v>
      </c>
      <c r="B306" s="1137"/>
      <c r="C306" s="258">
        <f>SUM(C298:C305)</f>
        <v>325</v>
      </c>
      <c r="D306" s="429">
        <f t="shared" ref="D306:H306" si="23">SUM(D298:D305)</f>
        <v>668.17000000000007</v>
      </c>
      <c r="E306" s="258">
        <f t="shared" si="23"/>
        <v>2473975.7599999998</v>
      </c>
      <c r="F306" s="258">
        <f t="shared" si="23"/>
        <v>2734518888</v>
      </c>
      <c r="G306" s="258">
        <f>SUM(G298:G305)</f>
        <v>677767348</v>
      </c>
      <c r="H306" s="258">
        <f t="shared" si="23"/>
        <v>3943</v>
      </c>
      <c r="K306" s="432">
        <f t="shared" si="20"/>
        <v>1105.3135330638811</v>
      </c>
    </row>
    <row r="307" spans="1:11" s="432" customFormat="1" ht="17.100000000000001" customHeight="1" x14ac:dyDescent="0.25">
      <c r="A307" s="31"/>
      <c r="B307" s="31"/>
      <c r="C307" s="451"/>
      <c r="D307" s="452"/>
      <c r="E307" s="386"/>
      <c r="F307" s="451"/>
      <c r="G307" s="386"/>
      <c r="H307" s="386"/>
      <c r="K307" s="432" t="e">
        <f t="shared" si="20"/>
        <v>#DIV/0!</v>
      </c>
    </row>
    <row r="308" spans="1:11" s="432" customFormat="1" ht="17.100000000000001" customHeight="1" x14ac:dyDescent="0.25">
      <c r="A308" s="1149" t="s">
        <v>62</v>
      </c>
      <c r="B308" s="1149"/>
      <c r="C308" s="1149"/>
      <c r="D308" s="1149"/>
      <c r="E308" s="1149"/>
      <c r="F308" s="1149"/>
      <c r="G308" s="1149"/>
      <c r="H308" s="1149"/>
      <c r="K308" s="432" t="e">
        <f t="shared" si="20"/>
        <v>#DIV/0!</v>
      </c>
    </row>
    <row r="309" spans="1:11" s="432" customFormat="1" ht="17.100000000000001" customHeight="1" x14ac:dyDescent="0.25">
      <c r="A309" s="1122" t="s">
        <v>2</v>
      </c>
      <c r="B309" s="1124" t="s">
        <v>77</v>
      </c>
      <c r="C309" s="249" t="s">
        <v>4</v>
      </c>
      <c r="D309" s="249" t="s">
        <v>5</v>
      </c>
      <c r="E309" s="249" t="s">
        <v>6</v>
      </c>
      <c r="F309" s="249" t="s">
        <v>7</v>
      </c>
      <c r="G309" s="249" t="s">
        <v>8</v>
      </c>
      <c r="H309" s="249" t="s">
        <v>9</v>
      </c>
      <c r="K309" s="432" t="e">
        <f t="shared" si="20"/>
        <v>#VALUE!</v>
      </c>
    </row>
    <row r="310" spans="1:11" s="432" customFormat="1" ht="17.100000000000001" customHeight="1" x14ac:dyDescent="0.25">
      <c r="A310" s="1123"/>
      <c r="B310" s="1125"/>
      <c r="C310" s="2" t="s">
        <v>10</v>
      </c>
      <c r="D310" s="2" t="s">
        <v>52</v>
      </c>
      <c r="E310" s="2" t="s">
        <v>79</v>
      </c>
      <c r="F310" s="52" t="s">
        <v>80</v>
      </c>
      <c r="G310" s="52" t="s">
        <v>80</v>
      </c>
      <c r="H310" s="2" t="s">
        <v>13</v>
      </c>
      <c r="K310" s="432" t="e">
        <f t="shared" si="20"/>
        <v>#VALUE!</v>
      </c>
    </row>
    <row r="311" spans="1:11" s="432" customFormat="1" ht="17.100000000000001" customHeight="1" x14ac:dyDescent="0.25">
      <c r="A311" s="166">
        <v>1</v>
      </c>
      <c r="B311" s="433" t="s">
        <v>138</v>
      </c>
      <c r="C311" s="213">
        <f>'Office Minor'!C8</f>
        <v>203</v>
      </c>
      <c r="D311" s="213">
        <f>'Office Minor'!D8</f>
        <v>200.24</v>
      </c>
      <c r="E311" s="213">
        <f>'Office Minor'!E8</f>
        <v>347424</v>
      </c>
      <c r="F311" s="213">
        <f>'Office Minor'!F8</f>
        <v>694847780</v>
      </c>
      <c r="G311" s="213">
        <f>'Office Minor'!G8</f>
        <v>120652960</v>
      </c>
      <c r="H311" s="213">
        <f>'Office Minor'!H8</f>
        <v>1550</v>
      </c>
      <c r="K311" s="432">
        <f t="shared" si="20"/>
        <v>1999.9993667679837</v>
      </c>
    </row>
    <row r="312" spans="1:11" s="432" customFormat="1" ht="17.100000000000001" customHeight="1" x14ac:dyDescent="0.25">
      <c r="A312" s="166">
        <v>2</v>
      </c>
      <c r="B312" s="433" t="s">
        <v>92</v>
      </c>
      <c r="C312" s="63">
        <f>'Office Minor'!C25</f>
        <v>21</v>
      </c>
      <c r="D312" s="63">
        <f>'Office Minor'!D25</f>
        <v>19.64</v>
      </c>
      <c r="E312" s="63">
        <f>'Office Minor'!E25</f>
        <v>25264</v>
      </c>
      <c r="F312" s="63">
        <f>'Office Minor'!F25</f>
        <v>48002284</v>
      </c>
      <c r="G312" s="63">
        <f>'Office Minor'!G25</f>
        <v>7154944</v>
      </c>
      <c r="H312" s="63">
        <f>'Office Minor'!H25</f>
        <v>110</v>
      </c>
      <c r="K312" s="432">
        <f t="shared" si="20"/>
        <v>1900.02707409753</v>
      </c>
    </row>
    <row r="313" spans="1:11" s="432" customFormat="1" ht="17.100000000000001" customHeight="1" x14ac:dyDescent="0.25">
      <c r="A313" s="166">
        <v>3</v>
      </c>
      <c r="B313" s="433" t="s">
        <v>86</v>
      </c>
      <c r="C313" s="137">
        <f>'Office Minor'!C42</f>
        <v>134</v>
      </c>
      <c r="D313" s="137">
        <f>'Office Minor'!D42</f>
        <v>194.83</v>
      </c>
      <c r="E313" s="137">
        <f>'Office Minor'!E42</f>
        <v>2900590</v>
      </c>
      <c r="F313" s="137">
        <f>'Office Minor'!F42</f>
        <v>5096033078</v>
      </c>
      <c r="G313" s="137">
        <f>'Office Minor'!G42</f>
        <v>440396071</v>
      </c>
      <c r="H313" s="137">
        <f>'Office Minor'!H42</f>
        <v>3000</v>
      </c>
      <c r="K313" s="432">
        <f t="shared" si="20"/>
        <v>1756.8953481877825</v>
      </c>
    </row>
    <row r="314" spans="1:11" s="432" customFormat="1" ht="17.100000000000001" customHeight="1" x14ac:dyDescent="0.25">
      <c r="A314" s="166">
        <v>4</v>
      </c>
      <c r="B314" s="433" t="s">
        <v>191</v>
      </c>
      <c r="C314" s="137">
        <f>'Office Minor'!C123</f>
        <v>1</v>
      </c>
      <c r="D314" s="137">
        <f>'Office Minor'!D123</f>
        <v>4</v>
      </c>
      <c r="E314" s="137">
        <f>'Office Minor'!E123</f>
        <v>0</v>
      </c>
      <c r="F314" s="137">
        <f>'Office Minor'!F123</f>
        <v>0</v>
      </c>
      <c r="G314" s="137">
        <f>'Office Minor'!G123</f>
        <v>0</v>
      </c>
      <c r="H314" s="137">
        <f>'Office Minor'!H123</f>
        <v>0</v>
      </c>
      <c r="K314" s="432" t="e">
        <f t="shared" si="20"/>
        <v>#DIV/0!</v>
      </c>
    </row>
    <row r="315" spans="1:11" s="432" customFormat="1" ht="17.100000000000001" customHeight="1" x14ac:dyDescent="0.25">
      <c r="A315" s="166">
        <v>5</v>
      </c>
      <c r="B315" s="454" t="s">
        <v>145</v>
      </c>
      <c r="C315" s="166">
        <f>'Office Minor'!C60</f>
        <v>6</v>
      </c>
      <c r="D315" s="166">
        <f>'Office Minor'!D60</f>
        <v>20.85</v>
      </c>
      <c r="E315" s="166">
        <f>'Office Minor'!E60</f>
        <v>7025</v>
      </c>
      <c r="F315" s="166">
        <f>'Office Minor'!F60</f>
        <v>12996250</v>
      </c>
      <c r="G315" s="166">
        <f>'Office Minor'!G60</f>
        <v>1686000</v>
      </c>
      <c r="H315" s="166">
        <f>'Office Minor'!H60</f>
        <v>145</v>
      </c>
      <c r="K315" s="432">
        <f t="shared" si="20"/>
        <v>1850</v>
      </c>
    </row>
    <row r="316" spans="1:11" s="432" customFormat="1" ht="17.100000000000001" customHeight="1" x14ac:dyDescent="0.25">
      <c r="A316" s="166">
        <v>6</v>
      </c>
      <c r="B316" s="433" t="s">
        <v>150</v>
      </c>
      <c r="C316" s="137">
        <f>'Office Minor'!C74</f>
        <v>88</v>
      </c>
      <c r="D316" s="137">
        <f>'Office Minor'!D74</f>
        <v>151.82</v>
      </c>
      <c r="E316" s="137">
        <f>'Office Minor'!E74</f>
        <v>1240435</v>
      </c>
      <c r="F316" s="137">
        <f>'Office Minor'!F74</f>
        <v>2294804491</v>
      </c>
      <c r="G316" s="137">
        <f>'Office Minor'!G74</f>
        <v>284401020</v>
      </c>
      <c r="H316" s="137">
        <f>'Office Minor'!H74</f>
        <v>350</v>
      </c>
      <c r="K316" s="432">
        <f t="shared" si="20"/>
        <v>1849.9997912022798</v>
      </c>
    </row>
    <row r="317" spans="1:11" s="432" customFormat="1" ht="17.100000000000001" customHeight="1" x14ac:dyDescent="0.25">
      <c r="A317" s="166">
        <v>7</v>
      </c>
      <c r="B317" s="433" t="s">
        <v>81</v>
      </c>
      <c r="C317" s="137">
        <f>'Office Minor'!C176</f>
        <v>26</v>
      </c>
      <c r="D317" s="137" t="str">
        <f>'Office Minor'!D176</f>
        <v>40..8</v>
      </c>
      <c r="E317" s="137">
        <f>'Office Minor'!E176</f>
        <v>79614</v>
      </c>
      <c r="F317" s="137">
        <f>'Office Minor'!F176</f>
        <v>147285900</v>
      </c>
      <c r="G317" s="137">
        <f>'Office Minor'!G176</f>
        <v>14484890</v>
      </c>
      <c r="H317" s="137">
        <f>'Office Minor'!H176</f>
        <v>95</v>
      </c>
      <c r="K317" s="432">
        <f t="shared" si="20"/>
        <v>1850</v>
      </c>
    </row>
    <row r="318" spans="1:11" s="432" customFormat="1" ht="17.100000000000001" customHeight="1" x14ac:dyDescent="0.25">
      <c r="A318" s="166">
        <v>8</v>
      </c>
      <c r="B318" s="433" t="s">
        <v>142</v>
      </c>
      <c r="C318" s="363">
        <f>'Office Minor'!C217</f>
        <v>11</v>
      </c>
      <c r="D318" s="363">
        <f>'Office Minor'!D217</f>
        <v>31.82</v>
      </c>
      <c r="E318" s="363">
        <f>'Office Minor'!E217</f>
        <v>121994.51</v>
      </c>
      <c r="F318" s="363">
        <f>'Office Minor'!F217</f>
        <v>225689843</v>
      </c>
      <c r="G318" s="363">
        <f>'Office Minor'!G217</f>
        <v>5801061</v>
      </c>
      <c r="H318" s="363">
        <f>'Office Minor'!H217</f>
        <v>150</v>
      </c>
      <c r="K318" s="432">
        <f t="shared" si="20"/>
        <v>1849.9999959014549</v>
      </c>
    </row>
    <row r="319" spans="1:11" s="432" customFormat="1" ht="17.100000000000001" customHeight="1" x14ac:dyDescent="0.25">
      <c r="A319" s="166">
        <v>9</v>
      </c>
      <c r="B319" s="433" t="s">
        <v>104</v>
      </c>
      <c r="C319" s="137">
        <f>'Office Minor'!C256</f>
        <v>0</v>
      </c>
      <c r="D319" s="137">
        <f>'Office Minor'!D256</f>
        <v>0</v>
      </c>
      <c r="E319" s="137">
        <f>'Office Minor'!E256</f>
        <v>7013</v>
      </c>
      <c r="F319" s="137">
        <f>'Office Minor'!F256</f>
        <v>12974050</v>
      </c>
      <c r="G319" s="137">
        <f>'Office Minor'!G256</f>
        <v>1410796</v>
      </c>
      <c r="H319" s="137">
        <f>'Office Minor'!H256</f>
        <v>30</v>
      </c>
      <c r="K319" s="432">
        <f t="shared" si="20"/>
        <v>1850</v>
      </c>
    </row>
    <row r="320" spans="1:11" s="432" customFormat="1" ht="17.100000000000001" customHeight="1" x14ac:dyDescent="0.25">
      <c r="A320" s="166">
        <v>10</v>
      </c>
      <c r="B320" s="433" t="s">
        <v>377</v>
      </c>
      <c r="C320" s="137">
        <f>'Office Minor'!C232</f>
        <v>14</v>
      </c>
      <c r="D320" s="137">
        <f>'Office Minor'!D232</f>
        <v>33.17</v>
      </c>
      <c r="E320" s="137">
        <f>'Office Minor'!E232</f>
        <v>8447</v>
      </c>
      <c r="F320" s="137">
        <f>'Office Minor'!F232</f>
        <v>16049775</v>
      </c>
      <c r="G320" s="137">
        <f>'Office Minor'!G232</f>
        <v>5330692</v>
      </c>
      <c r="H320" s="137">
        <f>'Office Minor'!H232</f>
        <v>15</v>
      </c>
      <c r="K320" s="432">
        <f t="shared" si="20"/>
        <v>1900.0562329821239</v>
      </c>
    </row>
    <row r="321" spans="1:11" s="432" customFormat="1" ht="17.100000000000001" customHeight="1" x14ac:dyDescent="0.25">
      <c r="A321" s="166">
        <v>11</v>
      </c>
      <c r="B321" s="433" t="s">
        <v>110</v>
      </c>
      <c r="C321" s="137">
        <f>'Office Minor'!C272</f>
        <v>2</v>
      </c>
      <c r="D321" s="137">
        <f>'Office Minor'!D272</f>
        <v>5.2957999999999998</v>
      </c>
      <c r="E321" s="137">
        <f>'Office Minor'!E272</f>
        <v>267</v>
      </c>
      <c r="F321" s="137">
        <f>'Office Minor'!F272</f>
        <v>493950</v>
      </c>
      <c r="G321" s="137">
        <f>'Office Minor'!G272</f>
        <v>568710</v>
      </c>
      <c r="H321" s="137">
        <f>'Office Minor'!H272</f>
        <v>5</v>
      </c>
      <c r="K321" s="432">
        <f t="shared" si="20"/>
        <v>1850</v>
      </c>
    </row>
    <row r="322" spans="1:11" s="432" customFormat="1" ht="17.100000000000001" customHeight="1" x14ac:dyDescent="0.25">
      <c r="A322" s="166">
        <v>12</v>
      </c>
      <c r="B322" s="433" t="s">
        <v>154</v>
      </c>
      <c r="C322" s="166">
        <f>'Office Minor'!C341</f>
        <v>41</v>
      </c>
      <c r="D322" s="166">
        <f>'Office Minor'!D341</f>
        <v>142.6</v>
      </c>
      <c r="E322" s="166">
        <f>'Office Minor'!E341</f>
        <v>38757.22</v>
      </c>
      <c r="F322" s="166">
        <f>'Office Minor'!F341</f>
        <v>71700857</v>
      </c>
      <c r="G322" s="166">
        <f>'Office Minor'!G341</f>
        <v>25661113</v>
      </c>
      <c r="H322" s="166">
        <f>'Office Minor'!H341</f>
        <v>210</v>
      </c>
      <c r="K322" s="432">
        <f t="shared" si="20"/>
        <v>1850</v>
      </c>
    </row>
    <row r="323" spans="1:11" s="432" customFormat="1" ht="17.100000000000001" customHeight="1" x14ac:dyDescent="0.25">
      <c r="A323" s="166">
        <v>13</v>
      </c>
      <c r="B323" s="433" t="s">
        <v>87</v>
      </c>
      <c r="C323" s="137">
        <f>'Office Minor'!C362</f>
        <v>19</v>
      </c>
      <c r="D323" s="137">
        <f>'Office Minor'!D362</f>
        <v>38.96</v>
      </c>
      <c r="E323" s="137">
        <f>'Office Minor'!E362</f>
        <v>33192</v>
      </c>
      <c r="F323" s="137">
        <f>'Office Minor'!F362</f>
        <v>59745600</v>
      </c>
      <c r="G323" s="137">
        <f>'Office Minor'!G362</f>
        <v>8571168</v>
      </c>
      <c r="H323" s="137">
        <f>'Office Minor'!H362</f>
        <v>135</v>
      </c>
      <c r="K323" s="432">
        <f t="shared" si="20"/>
        <v>1800</v>
      </c>
    </row>
    <row r="324" spans="1:11" s="432" customFormat="1" ht="17.100000000000001" customHeight="1" x14ac:dyDescent="0.25">
      <c r="A324" s="166">
        <v>14</v>
      </c>
      <c r="B324" s="433" t="s">
        <v>84</v>
      </c>
      <c r="C324" s="143">
        <f>'Office Minor'!C412</f>
        <v>9</v>
      </c>
      <c r="D324" s="143">
        <f>'Office Minor'!D412</f>
        <v>21.481999999999999</v>
      </c>
      <c r="E324" s="143">
        <f>'Office Minor'!E412</f>
        <v>1586</v>
      </c>
      <c r="F324" s="143">
        <f>'Office Minor'!F412</f>
        <v>2934482</v>
      </c>
      <c r="G324" s="143">
        <f>'Office Minor'!G412</f>
        <v>460000</v>
      </c>
      <c r="H324" s="143">
        <f>'Office Minor'!H412</f>
        <v>21</v>
      </c>
      <c r="K324" s="432">
        <f t="shared" si="20"/>
        <v>1850.2408575031525</v>
      </c>
    </row>
    <row r="325" spans="1:11" s="432" customFormat="1" ht="17.100000000000001" customHeight="1" x14ac:dyDescent="0.25">
      <c r="A325" s="166">
        <v>15</v>
      </c>
      <c r="B325" s="433" t="s">
        <v>88</v>
      </c>
      <c r="C325" s="166">
        <f>'Office Minor'!C479</f>
        <v>11</v>
      </c>
      <c r="D325" s="166">
        <f>'Office Minor'!D479</f>
        <v>17.46</v>
      </c>
      <c r="E325" s="166">
        <f>'Office Minor'!E479</f>
        <v>105391</v>
      </c>
      <c r="F325" s="166">
        <f>'Office Minor'!F479</f>
        <v>194973701</v>
      </c>
      <c r="G325" s="166">
        <f>'Office Minor'!G479</f>
        <v>16297687</v>
      </c>
      <c r="H325" s="166">
        <f>'Office Minor'!H479</f>
        <v>40</v>
      </c>
      <c r="K325" s="432">
        <f t="shared" si="20"/>
        <v>1850.0033304551623</v>
      </c>
    </row>
    <row r="326" spans="1:11" s="432" customFormat="1" ht="17.100000000000001" customHeight="1" x14ac:dyDescent="0.25">
      <c r="A326" s="166">
        <v>16</v>
      </c>
      <c r="B326" s="433" t="s">
        <v>124</v>
      </c>
      <c r="C326" s="137">
        <f>'Office Minor'!C500</f>
        <v>0</v>
      </c>
      <c r="D326" s="137">
        <f>'Office Minor'!D500</f>
        <v>0</v>
      </c>
      <c r="E326" s="137">
        <f>'Office Minor'!E500</f>
        <v>1163613</v>
      </c>
      <c r="F326" s="137">
        <f>'Office Minor'!F500</f>
        <v>2909033725</v>
      </c>
      <c r="G326" s="137">
        <f>'Office Minor'!G500</f>
        <v>410472000</v>
      </c>
      <c r="H326" s="137">
        <f>'Office Minor'!H500</f>
        <v>10700</v>
      </c>
      <c r="K326" s="432">
        <f t="shared" si="20"/>
        <v>2500.0010527555123</v>
      </c>
    </row>
    <row r="327" spans="1:11" s="432" customFormat="1" ht="17.100000000000001" customHeight="1" x14ac:dyDescent="0.25">
      <c r="A327" s="166">
        <v>17</v>
      </c>
      <c r="B327" s="433" t="s">
        <v>107</v>
      </c>
      <c r="C327" s="166">
        <f>'Office Minor'!C515</f>
        <v>0</v>
      </c>
      <c r="D327" s="166">
        <f>'Office Minor'!D515</f>
        <v>0</v>
      </c>
      <c r="E327" s="166">
        <f>'Office Minor'!E515</f>
        <v>0</v>
      </c>
      <c r="F327" s="166">
        <f>'Office Minor'!F515</f>
        <v>0</v>
      </c>
      <c r="G327" s="166">
        <f>'Office Minor'!G515</f>
        <v>0</v>
      </c>
      <c r="H327" s="166">
        <f>'Office Minor'!H515</f>
        <v>0</v>
      </c>
      <c r="K327" s="432" t="e">
        <f t="shared" si="20"/>
        <v>#DIV/0!</v>
      </c>
    </row>
    <row r="328" spans="1:11" s="432" customFormat="1" ht="17.100000000000001" customHeight="1" x14ac:dyDescent="0.25">
      <c r="A328" s="166">
        <v>18</v>
      </c>
      <c r="B328" s="433" t="s">
        <v>108</v>
      </c>
      <c r="C328" s="166">
        <f>'Office Minor'!C551</f>
        <v>13</v>
      </c>
      <c r="D328" s="166">
        <f>'Office Minor'!D551</f>
        <v>46.39</v>
      </c>
      <c r="E328" s="166">
        <f>'Office Minor'!E551</f>
        <v>2428</v>
      </c>
      <c r="F328" s="166">
        <f>'Office Minor'!F551</f>
        <v>4491929</v>
      </c>
      <c r="G328" s="166">
        <f>'Office Minor'!G551</f>
        <v>5654191</v>
      </c>
      <c r="H328" s="166">
        <f>'Office Minor'!H551</f>
        <v>350</v>
      </c>
      <c r="K328" s="432">
        <f t="shared" ref="K328:K391" si="24">F328/E328</f>
        <v>1850.0531301482702</v>
      </c>
    </row>
    <row r="329" spans="1:11" s="432" customFormat="1" ht="17.100000000000001" customHeight="1" x14ac:dyDescent="0.25">
      <c r="A329" s="166">
        <v>19</v>
      </c>
      <c r="B329" s="433" t="s">
        <v>89</v>
      </c>
      <c r="C329" s="137">
        <f>'Office Minor'!C529</f>
        <v>17</v>
      </c>
      <c r="D329" s="137">
        <f>'Office Minor'!D529</f>
        <v>17.07</v>
      </c>
      <c r="E329" s="137">
        <f>'Office Minor'!E529</f>
        <v>218433</v>
      </c>
      <c r="F329" s="137">
        <f>'Office Minor'!F529</f>
        <v>401916719.99999994</v>
      </c>
      <c r="G329" s="137">
        <f>'Office Minor'!G529</f>
        <v>9593900</v>
      </c>
      <c r="H329" s="137">
        <f>'Office Minor'!H529</f>
        <v>50</v>
      </c>
      <c r="K329" s="432">
        <f t="shared" si="24"/>
        <v>1839.9999999999998</v>
      </c>
    </row>
    <row r="330" spans="1:11" s="432" customFormat="1" ht="17.100000000000001" customHeight="1" x14ac:dyDescent="0.25">
      <c r="A330" s="166">
        <v>20</v>
      </c>
      <c r="B330" s="214" t="s">
        <v>111</v>
      </c>
      <c r="C330" s="137">
        <f>'Office Minor'!C565</f>
        <v>17</v>
      </c>
      <c r="D330" s="137">
        <f>'Office Minor'!D565</f>
        <v>33</v>
      </c>
      <c r="E330" s="137">
        <f>'Office Minor'!E565</f>
        <v>387385</v>
      </c>
      <c r="F330" s="137">
        <f>'Office Minor'!F565</f>
        <v>716662250</v>
      </c>
      <c r="G330" s="137">
        <f>'Office Minor'!G565</f>
        <v>81350850</v>
      </c>
      <c r="H330" s="137">
        <f>'Office Minor'!H565</f>
        <v>350</v>
      </c>
      <c r="K330" s="432">
        <f t="shared" si="24"/>
        <v>1850</v>
      </c>
    </row>
    <row r="331" spans="1:11" s="432" customFormat="1" ht="17.100000000000001" customHeight="1" x14ac:dyDescent="0.25">
      <c r="A331" s="166">
        <v>21</v>
      </c>
      <c r="B331" s="433" t="s">
        <v>98</v>
      </c>
      <c r="C331" s="63">
        <f>'Office Minor'!C584</f>
        <v>503</v>
      </c>
      <c r="D331" s="63">
        <f>'Office Minor'!D584</f>
        <v>726.86</v>
      </c>
      <c r="E331" s="63">
        <f>'Office Minor'!E584</f>
        <v>1794404</v>
      </c>
      <c r="F331" s="63">
        <f>'Office Minor'!F584</f>
        <v>3409367562</v>
      </c>
      <c r="G331" s="63">
        <f>'Office Minor'!G584</f>
        <v>928404000</v>
      </c>
      <c r="H331" s="63">
        <f>'Office Minor'!H584</f>
        <v>4635</v>
      </c>
      <c r="K331" s="432">
        <f t="shared" si="24"/>
        <v>1899.9999788230521</v>
      </c>
    </row>
    <row r="332" spans="1:11" s="432" customFormat="1" ht="17.100000000000001" customHeight="1" x14ac:dyDescent="0.25">
      <c r="A332" s="166">
        <v>22</v>
      </c>
      <c r="B332" s="433" t="s">
        <v>90</v>
      </c>
      <c r="C332" s="137">
        <f>'Office Minor'!C599</f>
        <v>270</v>
      </c>
      <c r="D332" s="137">
        <f>'Office Minor'!D599</f>
        <v>327.72</v>
      </c>
      <c r="E332" s="137">
        <f>'Office Minor'!E599</f>
        <v>1884349</v>
      </c>
      <c r="F332" s="137">
        <f>'Office Minor'!F599</f>
        <v>3486045650</v>
      </c>
      <c r="G332" s="137">
        <f>'Office Minor'!G599</f>
        <v>267064000</v>
      </c>
      <c r="H332" s="137">
        <f>'Office Minor'!H599</f>
        <v>1470</v>
      </c>
      <c r="K332" s="432">
        <f t="shared" si="24"/>
        <v>1850</v>
      </c>
    </row>
    <row r="333" spans="1:11" s="432" customFormat="1" ht="17.100000000000001" customHeight="1" x14ac:dyDescent="0.25">
      <c r="A333" s="166">
        <v>23</v>
      </c>
      <c r="B333" s="214" t="s">
        <v>376</v>
      </c>
      <c r="C333" s="206">
        <f>'Office Minor'!C691</f>
        <v>80</v>
      </c>
      <c r="D333" s="206">
        <f>'Office Minor'!D691</f>
        <v>144.96</v>
      </c>
      <c r="E333" s="206">
        <f>'Office Minor'!E691</f>
        <v>715485</v>
      </c>
      <c r="F333" s="206">
        <f>'Office Minor'!F691</f>
        <v>1323647250</v>
      </c>
      <c r="G333" s="206">
        <f>'Office Minor'!G691</f>
        <v>218938410</v>
      </c>
      <c r="H333" s="206">
        <f>'Office Minor'!H691</f>
        <v>350</v>
      </c>
      <c r="K333" s="432">
        <f t="shared" si="24"/>
        <v>1850</v>
      </c>
    </row>
    <row r="334" spans="1:11" s="432" customFormat="1" ht="17.100000000000001" customHeight="1" x14ac:dyDescent="0.25">
      <c r="A334" s="166">
        <v>24</v>
      </c>
      <c r="B334" s="433" t="s">
        <v>99</v>
      </c>
      <c r="C334" s="63">
        <f>'Office Minor'!C656</f>
        <v>41</v>
      </c>
      <c r="D334" s="63">
        <f>'Office Minor'!D656</f>
        <v>69.11</v>
      </c>
      <c r="E334" s="63">
        <f>'Office Minor'!E656</f>
        <v>81894</v>
      </c>
      <c r="F334" s="63">
        <f>'Office Minor'!F656</f>
        <v>135125100</v>
      </c>
      <c r="G334" s="63">
        <f>'Office Minor'!G656</f>
        <v>18426150</v>
      </c>
      <c r="H334" s="63">
        <f>'Office Minor'!H656</f>
        <v>150</v>
      </c>
      <c r="K334" s="432">
        <f t="shared" si="24"/>
        <v>1650</v>
      </c>
    </row>
    <row r="335" spans="1:11" s="432" customFormat="1" ht="17.100000000000001" customHeight="1" x14ac:dyDescent="0.25">
      <c r="A335" s="166">
        <v>25</v>
      </c>
      <c r="B335" s="433" t="s">
        <v>100</v>
      </c>
      <c r="C335" s="166">
        <f>'Office Minor'!C707</f>
        <v>9</v>
      </c>
      <c r="D335" s="166">
        <f>'Office Minor'!D707</f>
        <v>479.63</v>
      </c>
      <c r="E335" s="166">
        <f>'Office Minor'!E707</f>
        <v>86174.510000000009</v>
      </c>
      <c r="F335" s="166">
        <f>'Office Minor'!F707</f>
        <v>151905023</v>
      </c>
      <c r="G335" s="166">
        <f>'Office Minor'!G707</f>
        <v>26698765</v>
      </c>
      <c r="H335" s="166">
        <f>'Office Minor'!H707</f>
        <v>80</v>
      </c>
      <c r="K335" s="432">
        <f t="shared" si="24"/>
        <v>1762.7605077185815</v>
      </c>
    </row>
    <row r="336" spans="1:11" s="432" customFormat="1" ht="17.100000000000001" customHeight="1" x14ac:dyDescent="0.25">
      <c r="A336" s="166">
        <v>26</v>
      </c>
      <c r="B336" s="433" t="s">
        <v>91</v>
      </c>
      <c r="C336" s="204">
        <f>'Office Minor'!C730</f>
        <v>80</v>
      </c>
      <c r="D336" s="204">
        <f>'Office Minor'!D730</f>
        <v>82.05</v>
      </c>
      <c r="E336" s="204">
        <f>'Office Minor'!E730</f>
        <v>737699</v>
      </c>
      <c r="F336" s="204">
        <f>'Office Minor'!F730</f>
        <v>1364744926</v>
      </c>
      <c r="G336" s="204">
        <f>'Office Minor'!G730</f>
        <v>105644461</v>
      </c>
      <c r="H336" s="204">
        <f>'Office Minor'!H730</f>
        <v>1350</v>
      </c>
      <c r="K336" s="432">
        <f t="shared" si="24"/>
        <v>1850.00240748598</v>
      </c>
    </row>
    <row r="337" spans="1:11" s="432" customFormat="1" ht="17.100000000000001" customHeight="1" x14ac:dyDescent="0.25">
      <c r="A337" s="166">
        <v>27</v>
      </c>
      <c r="B337" s="433" t="s">
        <v>139</v>
      </c>
      <c r="C337" s="143">
        <f>'Office Minor'!C748</f>
        <v>1</v>
      </c>
      <c r="D337" s="143">
        <f>'Office Minor'!D748</f>
        <v>1</v>
      </c>
      <c r="E337" s="143">
        <f>'Office Minor'!E748</f>
        <v>0</v>
      </c>
      <c r="F337" s="143">
        <f>'Office Minor'!F748</f>
        <v>0</v>
      </c>
      <c r="G337" s="143">
        <f>'Office Minor'!G748</f>
        <v>0</v>
      </c>
      <c r="H337" s="143">
        <f>'Office Minor'!H748</f>
        <v>0</v>
      </c>
      <c r="K337" s="432" t="e">
        <f t="shared" si="24"/>
        <v>#DIV/0!</v>
      </c>
    </row>
    <row r="338" spans="1:11" s="432" customFormat="1" ht="17.100000000000001" customHeight="1" x14ac:dyDescent="0.25">
      <c r="A338" s="166">
        <v>28</v>
      </c>
      <c r="B338" s="433" t="s">
        <v>83</v>
      </c>
      <c r="C338" s="137">
        <f>'Office Minor'!C792</f>
        <v>66</v>
      </c>
      <c r="D338" s="137">
        <f>'Office Minor'!D792</f>
        <v>84.31</v>
      </c>
      <c r="E338" s="137">
        <f>'Office Minor'!E792</f>
        <v>200699</v>
      </c>
      <c r="F338" s="137">
        <f>'Office Minor'!F792</f>
        <v>371293150</v>
      </c>
      <c r="G338" s="137">
        <f>'Office Minor'!G792</f>
        <v>73642552</v>
      </c>
      <c r="H338" s="137">
        <f>'Office Minor'!H792</f>
        <v>595</v>
      </c>
      <c r="K338" s="432">
        <f t="shared" si="24"/>
        <v>1850</v>
      </c>
    </row>
    <row r="339" spans="1:11" s="432" customFormat="1" ht="17.100000000000001" customHeight="1" x14ac:dyDescent="0.25">
      <c r="A339" s="1136" t="s">
        <v>50</v>
      </c>
      <c r="B339" s="1137"/>
      <c r="C339" s="258">
        <f>SUM(C311:C338)</f>
        <v>1683</v>
      </c>
      <c r="D339" s="429">
        <f t="shared" ref="D339:H339" si="25">SUM(D311:D338)</f>
        <v>2894.2678000000005</v>
      </c>
      <c r="E339" s="430">
        <f t="shared" si="25"/>
        <v>12189563.24</v>
      </c>
      <c r="F339" s="258">
        <f t="shared" si="25"/>
        <v>23152765326</v>
      </c>
      <c r="G339" s="430">
        <f>SUM(G311:G338)</f>
        <v>3078766391</v>
      </c>
      <c r="H339" s="430">
        <f t="shared" si="25"/>
        <v>25936</v>
      </c>
      <c r="K339" s="432">
        <f t="shared" si="24"/>
        <v>1899.3925270451282</v>
      </c>
    </row>
    <row r="340" spans="1:11" s="432" customFormat="1" ht="17.100000000000001" customHeight="1" x14ac:dyDescent="0.25">
      <c r="A340" s="31"/>
      <c r="B340" s="31"/>
      <c r="C340" s="451"/>
      <c r="D340" s="452"/>
      <c r="E340" s="386"/>
      <c r="F340" s="451"/>
      <c r="G340" s="386"/>
      <c r="H340" s="386"/>
      <c r="K340" s="432" t="e">
        <f t="shared" si="24"/>
        <v>#DIV/0!</v>
      </c>
    </row>
    <row r="341" spans="1:11" s="432" customFormat="1" ht="17.100000000000001" customHeight="1" x14ac:dyDescent="0.25">
      <c r="A341" s="1149" t="s">
        <v>146</v>
      </c>
      <c r="B341" s="1149"/>
      <c r="C341" s="1149"/>
      <c r="D341" s="1149"/>
      <c r="E341" s="1149"/>
      <c r="F341" s="1149"/>
      <c r="G341" s="1149"/>
      <c r="H341" s="1149"/>
      <c r="K341" s="432" t="e">
        <f t="shared" si="24"/>
        <v>#DIV/0!</v>
      </c>
    </row>
    <row r="342" spans="1:11" s="432" customFormat="1" ht="17.100000000000001" customHeight="1" x14ac:dyDescent="0.25">
      <c r="A342" s="1122" t="s">
        <v>2</v>
      </c>
      <c r="B342" s="1124" t="s">
        <v>77</v>
      </c>
      <c r="C342" s="249" t="s">
        <v>4</v>
      </c>
      <c r="D342" s="249" t="s">
        <v>5</v>
      </c>
      <c r="E342" s="249" t="s">
        <v>6</v>
      </c>
      <c r="F342" s="249" t="s">
        <v>7</v>
      </c>
      <c r="G342" s="249" t="s">
        <v>8</v>
      </c>
      <c r="H342" s="249" t="s">
        <v>9</v>
      </c>
      <c r="K342" s="432" t="e">
        <f t="shared" si="24"/>
        <v>#VALUE!</v>
      </c>
    </row>
    <row r="343" spans="1:11" s="432" customFormat="1" ht="17.100000000000001" customHeight="1" x14ac:dyDescent="0.25">
      <c r="A343" s="1123"/>
      <c r="B343" s="1125"/>
      <c r="C343" s="2" t="s">
        <v>10</v>
      </c>
      <c r="D343" s="2" t="s">
        <v>52</v>
      </c>
      <c r="E343" s="2" t="s">
        <v>79</v>
      </c>
      <c r="F343" s="52" t="s">
        <v>80</v>
      </c>
      <c r="G343" s="52" t="s">
        <v>80</v>
      </c>
      <c r="H343" s="2" t="s">
        <v>13</v>
      </c>
      <c r="K343" s="432" t="e">
        <f t="shared" si="24"/>
        <v>#VALUE!</v>
      </c>
    </row>
    <row r="344" spans="1:11" s="432" customFormat="1" ht="17.100000000000001" customHeight="1" x14ac:dyDescent="0.25">
      <c r="A344" s="166">
        <v>1</v>
      </c>
      <c r="B344" s="433" t="s">
        <v>92</v>
      </c>
      <c r="C344" s="63">
        <f>'Office Minor'!C27</f>
        <v>213</v>
      </c>
      <c r="D344" s="63">
        <f>'Office Minor'!D27</f>
        <v>226.7</v>
      </c>
      <c r="E344" s="63">
        <f>'Office Minor'!E27</f>
        <v>1893168</v>
      </c>
      <c r="F344" s="63">
        <f>'Office Minor'!F27</f>
        <v>520621192</v>
      </c>
      <c r="G344" s="63">
        <f>'Office Minor'!G27</f>
        <v>95614474</v>
      </c>
      <c r="H344" s="63">
        <f>'Office Minor'!H27</f>
        <v>1100</v>
      </c>
      <c r="K344" s="432">
        <f t="shared" si="24"/>
        <v>274.99999577427889</v>
      </c>
    </row>
    <row r="345" spans="1:11" s="432" customFormat="1" ht="17.100000000000001" customHeight="1" x14ac:dyDescent="0.25">
      <c r="A345" s="166">
        <v>2</v>
      </c>
      <c r="B345" s="433" t="s">
        <v>151</v>
      </c>
      <c r="C345" s="329">
        <f>'Office Minor'!C107</f>
        <v>401</v>
      </c>
      <c r="D345" s="329">
        <f>'Office Minor'!D107</f>
        <v>429.65</v>
      </c>
      <c r="E345" s="329">
        <f>'Office Minor'!E107</f>
        <v>5929888</v>
      </c>
      <c r="F345" s="329">
        <f>'Office Minor'!F107</f>
        <v>1245276638</v>
      </c>
      <c r="G345" s="329">
        <f>'Office Minor'!G107</f>
        <v>401424299</v>
      </c>
      <c r="H345" s="329">
        <f>'Office Minor'!H107</f>
        <v>3025</v>
      </c>
      <c r="K345" s="432">
        <f t="shared" si="24"/>
        <v>210.00002664468536</v>
      </c>
    </row>
    <row r="346" spans="1:11" s="432" customFormat="1" ht="17.100000000000001" customHeight="1" x14ac:dyDescent="0.25">
      <c r="A346" s="166">
        <v>3</v>
      </c>
      <c r="B346" s="433" t="s">
        <v>191</v>
      </c>
      <c r="C346" s="166">
        <f>'Office Minor'!C125</f>
        <v>81</v>
      </c>
      <c r="D346" s="166">
        <f>'Office Minor'!D125</f>
        <v>85.18</v>
      </c>
      <c r="E346" s="166">
        <f>'Office Minor'!E125</f>
        <v>761261</v>
      </c>
      <c r="F346" s="166">
        <f>'Office Minor'!F125</f>
        <v>159864810</v>
      </c>
      <c r="G346" s="166">
        <f>'Office Minor'!G125</f>
        <v>26644149</v>
      </c>
      <c r="H346" s="166">
        <f>'Office Minor'!H125</f>
        <v>144</v>
      </c>
      <c r="K346" s="432">
        <f t="shared" si="24"/>
        <v>210</v>
      </c>
    </row>
    <row r="347" spans="1:11" s="432" customFormat="1" ht="17.100000000000001" customHeight="1" x14ac:dyDescent="0.25">
      <c r="A347" s="166">
        <v>4</v>
      </c>
      <c r="B347" s="433" t="s">
        <v>91</v>
      </c>
      <c r="C347" s="204">
        <f>'Office Minor'!C734</f>
        <v>119</v>
      </c>
      <c r="D347" s="204">
        <f>'Office Minor'!D734</f>
        <v>130.25</v>
      </c>
      <c r="E347" s="204">
        <f>'Office Minor'!E734</f>
        <v>1235252</v>
      </c>
      <c r="F347" s="204">
        <f>'Office Minor'!F734</f>
        <v>247050510</v>
      </c>
      <c r="G347" s="204">
        <f>'Office Minor'!G734</f>
        <v>40788141</v>
      </c>
      <c r="H347" s="204">
        <f>'Office Minor'!H734</f>
        <v>762</v>
      </c>
      <c r="K347" s="432">
        <f t="shared" si="24"/>
        <v>200.00008905065525</v>
      </c>
    </row>
    <row r="348" spans="1:11" s="432" customFormat="1" ht="17.100000000000001" customHeight="1" x14ac:dyDescent="0.25">
      <c r="A348" s="166">
        <v>5</v>
      </c>
      <c r="B348" s="433" t="s">
        <v>138</v>
      </c>
      <c r="C348" s="213">
        <f>'Office Minor'!C10</f>
        <v>12</v>
      </c>
      <c r="D348" s="213">
        <f>'Office Minor'!D10</f>
        <v>12.2034</v>
      </c>
      <c r="E348" s="213">
        <f>'Office Minor'!E10</f>
        <v>437542</v>
      </c>
      <c r="F348" s="213">
        <f>'Office Minor'!F10</f>
        <v>91883820</v>
      </c>
      <c r="G348" s="213">
        <f>'Office Minor'!G10</f>
        <v>51715657</v>
      </c>
      <c r="H348" s="213">
        <f>'Office Minor'!H10</f>
        <v>250</v>
      </c>
      <c r="K348" s="432">
        <f t="shared" si="24"/>
        <v>210</v>
      </c>
    </row>
    <row r="349" spans="1:11" s="432" customFormat="1" ht="17.100000000000001" customHeight="1" x14ac:dyDescent="0.25">
      <c r="A349" s="166">
        <v>6</v>
      </c>
      <c r="B349" s="433" t="s">
        <v>86</v>
      </c>
      <c r="C349" s="137">
        <f>'Office Minor'!C43</f>
        <v>178</v>
      </c>
      <c r="D349" s="137">
        <f>'Office Minor'!D43</f>
        <v>154.69</v>
      </c>
      <c r="E349" s="137">
        <f>'Office Minor'!E43</f>
        <v>6575487</v>
      </c>
      <c r="F349" s="137">
        <f>'Office Minor'!F43</f>
        <v>1380852308</v>
      </c>
      <c r="G349" s="137">
        <f>'Office Minor'!G43</f>
        <v>289321436</v>
      </c>
      <c r="H349" s="137">
        <f>'Office Minor'!H43</f>
        <v>5000</v>
      </c>
      <c r="K349" s="432">
        <f t="shared" si="24"/>
        <v>210.00000577903964</v>
      </c>
    </row>
    <row r="350" spans="1:11" s="432" customFormat="1" ht="17.100000000000001" customHeight="1" x14ac:dyDescent="0.25">
      <c r="A350" s="166">
        <v>7</v>
      </c>
      <c r="B350" s="433" t="s">
        <v>140</v>
      </c>
      <c r="C350" s="204">
        <f>'Office Minor'!C91</f>
        <v>41</v>
      </c>
      <c r="D350" s="204">
        <f>'Office Minor'!D91</f>
        <v>41.644300000000001</v>
      </c>
      <c r="E350" s="204">
        <f>'Office Minor'!E91</f>
        <v>342852</v>
      </c>
      <c r="F350" s="204">
        <f>'Office Minor'!F91</f>
        <v>71998920</v>
      </c>
      <c r="G350" s="204">
        <f>'Office Minor'!G91</f>
        <v>13714080</v>
      </c>
      <c r="H350" s="204">
        <f>'Office Minor'!H91</f>
        <v>150</v>
      </c>
      <c r="K350" s="432">
        <f t="shared" si="24"/>
        <v>210</v>
      </c>
    </row>
    <row r="351" spans="1:11" s="432" customFormat="1" ht="17.100000000000001" customHeight="1" x14ac:dyDescent="0.25">
      <c r="A351" s="166">
        <v>8</v>
      </c>
      <c r="B351" s="454" t="s">
        <v>145</v>
      </c>
      <c r="C351" s="236">
        <f>'Office Minor'!C62</f>
        <v>103</v>
      </c>
      <c r="D351" s="236">
        <f>'Office Minor'!D62</f>
        <v>111.76</v>
      </c>
      <c r="E351" s="236">
        <f>'Office Minor'!E62</f>
        <v>5942252.1299999999</v>
      </c>
      <c r="F351" s="236">
        <f>'Office Minor'!F62</f>
        <v>1277584207.95</v>
      </c>
      <c r="G351" s="236">
        <f>'Office Minor'!G62</f>
        <v>199961972</v>
      </c>
      <c r="H351" s="236">
        <f>'Office Minor'!H62</f>
        <v>11250</v>
      </c>
      <c r="K351" s="432">
        <f t="shared" si="24"/>
        <v>215</v>
      </c>
    </row>
    <row r="352" spans="1:11" s="432" customFormat="1" ht="17.100000000000001" customHeight="1" x14ac:dyDescent="0.25">
      <c r="A352" s="166">
        <v>9</v>
      </c>
      <c r="B352" s="433" t="s">
        <v>150</v>
      </c>
      <c r="C352" s="137">
        <f>'Office Minor'!C76</f>
        <v>59</v>
      </c>
      <c r="D352" s="137">
        <f>'Office Minor'!D76</f>
        <v>61.68</v>
      </c>
      <c r="E352" s="137">
        <f>'Office Minor'!E76</f>
        <v>943494</v>
      </c>
      <c r="F352" s="137">
        <f>'Office Minor'!F76</f>
        <v>197275758</v>
      </c>
      <c r="G352" s="137">
        <f>'Office Minor'!G76</f>
        <v>37650257</v>
      </c>
      <c r="H352" s="137">
        <f>'Office Minor'!H76</f>
        <v>258</v>
      </c>
      <c r="K352" s="432">
        <f t="shared" si="24"/>
        <v>209.090633326762</v>
      </c>
    </row>
    <row r="353" spans="1:11" s="432" customFormat="1" ht="17.100000000000001" customHeight="1" x14ac:dyDescent="0.25">
      <c r="A353" s="166">
        <v>10</v>
      </c>
      <c r="B353" s="433" t="s">
        <v>141</v>
      </c>
      <c r="C353" s="63">
        <f>'Office Minor'!C143</f>
        <v>2</v>
      </c>
      <c r="D353" s="63">
        <f>'Office Minor'!D143</f>
        <v>2</v>
      </c>
      <c r="E353" s="63">
        <f>'Office Minor'!E143</f>
        <v>25335</v>
      </c>
      <c r="F353" s="63">
        <f>'Office Minor'!F143</f>
        <v>5320350</v>
      </c>
      <c r="G353" s="63">
        <f>'Office Minor'!G143</f>
        <v>985000</v>
      </c>
      <c r="H353" s="63">
        <f>'Office Minor'!H143</f>
        <v>10</v>
      </c>
      <c r="K353" s="432">
        <f t="shared" si="24"/>
        <v>210</v>
      </c>
    </row>
    <row r="354" spans="1:11" s="432" customFormat="1" ht="17.100000000000001" customHeight="1" x14ac:dyDescent="0.25">
      <c r="A354" s="166">
        <v>11</v>
      </c>
      <c r="B354" s="433" t="s">
        <v>113</v>
      </c>
      <c r="C354" s="198">
        <f>'Office Minor'!C157</f>
        <v>418</v>
      </c>
      <c r="D354" s="198">
        <f>'Office Minor'!D157</f>
        <v>424.15</v>
      </c>
      <c r="E354" s="198">
        <f>'Office Minor'!E157</f>
        <v>13794158</v>
      </c>
      <c r="F354" s="198">
        <f>'Office Minor'!F157</f>
        <v>2413977818</v>
      </c>
      <c r="G354" s="198">
        <f>'Office Minor'!G157</f>
        <v>882830221</v>
      </c>
      <c r="H354" s="198">
        <f>'Office Minor'!H157</f>
        <v>2200</v>
      </c>
      <c r="K354" s="432">
        <f t="shared" si="24"/>
        <v>175.00001217906885</v>
      </c>
    </row>
    <row r="355" spans="1:11" s="432" customFormat="1" ht="17.100000000000001" customHeight="1" x14ac:dyDescent="0.25">
      <c r="A355" s="166">
        <v>12</v>
      </c>
      <c r="B355" s="433" t="s">
        <v>81</v>
      </c>
      <c r="C355" s="137">
        <f>'Office Minor'!C168</f>
        <v>159</v>
      </c>
      <c r="D355" s="137">
        <f>'Office Minor'!D168</f>
        <v>161.59</v>
      </c>
      <c r="E355" s="137">
        <f>'Office Minor'!E168</f>
        <v>2037317</v>
      </c>
      <c r="F355" s="137">
        <f>'Office Minor'!F168</f>
        <v>407463400</v>
      </c>
      <c r="G355" s="137">
        <f>'Office Minor'!G168</f>
        <v>119401271</v>
      </c>
      <c r="H355" s="137">
        <f>'Office Minor'!H168</f>
        <v>3355</v>
      </c>
      <c r="K355" s="432">
        <f t="shared" si="24"/>
        <v>200</v>
      </c>
    </row>
    <row r="356" spans="1:11" s="432" customFormat="1" ht="17.100000000000001" customHeight="1" x14ac:dyDescent="0.25">
      <c r="A356" s="166">
        <v>13</v>
      </c>
      <c r="B356" s="433" t="s">
        <v>96</v>
      </c>
      <c r="C356" s="63">
        <f>'Office Minor'!C195</f>
        <v>12</v>
      </c>
      <c r="D356" s="63">
        <f>'Office Minor'!D195</f>
        <v>12</v>
      </c>
      <c r="E356" s="63">
        <f>'Office Minor'!E195</f>
        <v>35687</v>
      </c>
      <c r="F356" s="63">
        <f>'Office Minor'!F195</f>
        <v>7494270</v>
      </c>
      <c r="G356" s="63">
        <f>'Office Minor'!G195</f>
        <v>505754</v>
      </c>
      <c r="H356" s="63">
        <f>'Office Minor'!H195</f>
        <v>72</v>
      </c>
      <c r="K356" s="432">
        <f t="shared" si="24"/>
        <v>210</v>
      </c>
    </row>
    <row r="357" spans="1:11" s="432" customFormat="1" ht="17.100000000000001" customHeight="1" x14ac:dyDescent="0.25">
      <c r="A357" s="166">
        <v>14</v>
      </c>
      <c r="B357" s="433" t="s">
        <v>142</v>
      </c>
      <c r="C357" s="363">
        <f>'Office Minor'!C216</f>
        <v>56</v>
      </c>
      <c r="D357" s="363">
        <f>'Office Minor'!D216</f>
        <v>62.51</v>
      </c>
      <c r="E357" s="363">
        <f>'Office Minor'!E216</f>
        <v>781411</v>
      </c>
      <c r="F357" s="363">
        <f>'Office Minor'!F216</f>
        <v>187538649</v>
      </c>
      <c r="G357" s="363">
        <f>'Office Minor'!G216</f>
        <v>33175543</v>
      </c>
      <c r="H357" s="363">
        <f>'Office Minor'!H216</f>
        <v>250</v>
      </c>
      <c r="K357" s="432">
        <f t="shared" si="24"/>
        <v>240.00001151762646</v>
      </c>
    </row>
    <row r="358" spans="1:11" s="432" customFormat="1" ht="17.100000000000001" customHeight="1" x14ac:dyDescent="0.25">
      <c r="A358" s="166">
        <v>15</v>
      </c>
      <c r="B358" s="433" t="s">
        <v>104</v>
      </c>
      <c r="C358" s="204">
        <f>'Office Minor'!C246</f>
        <v>32</v>
      </c>
      <c r="D358" s="204">
        <f>'Office Minor'!D246</f>
        <v>37.200000000000003</v>
      </c>
      <c r="E358" s="204">
        <f>'Office Minor'!E246</f>
        <v>266092</v>
      </c>
      <c r="F358" s="204">
        <f>'Office Minor'!F246</f>
        <v>57209780</v>
      </c>
      <c r="G358" s="204">
        <f>'Office Minor'!G246</f>
        <v>10084520</v>
      </c>
      <c r="H358" s="204">
        <f>'Office Minor'!H246</f>
        <v>15</v>
      </c>
      <c r="K358" s="432">
        <f t="shared" si="24"/>
        <v>215</v>
      </c>
    </row>
    <row r="359" spans="1:11" s="432" customFormat="1" ht="17.100000000000001" customHeight="1" x14ac:dyDescent="0.25">
      <c r="A359" s="166">
        <v>16</v>
      </c>
      <c r="B359" s="433" t="s">
        <v>377</v>
      </c>
      <c r="C359" s="204">
        <f>'Office Minor'!C233</f>
        <v>161</v>
      </c>
      <c r="D359" s="204">
        <f>'Office Minor'!D233</f>
        <v>179.51</v>
      </c>
      <c r="E359" s="204">
        <f>'Office Minor'!E233</f>
        <v>7686162</v>
      </c>
      <c r="F359" s="204">
        <f>'Office Minor'!F233</f>
        <v>1383509270</v>
      </c>
      <c r="G359" s="204">
        <f>'Office Minor'!G233</f>
        <v>436037862</v>
      </c>
      <c r="H359" s="204">
        <f>'Office Minor'!H233</f>
        <v>540</v>
      </c>
      <c r="K359" s="432">
        <f t="shared" si="24"/>
        <v>180.00001431143397</v>
      </c>
    </row>
    <row r="360" spans="1:11" s="432" customFormat="1" ht="17.100000000000001" customHeight="1" x14ac:dyDescent="0.25">
      <c r="A360" s="166">
        <v>17</v>
      </c>
      <c r="B360" s="433" t="s">
        <v>110</v>
      </c>
      <c r="C360" s="137">
        <f>'Office Minor'!C271</f>
        <v>107</v>
      </c>
      <c r="D360" s="137">
        <f>'Office Minor'!D271</f>
        <v>231.85</v>
      </c>
      <c r="E360" s="137">
        <f>'Office Minor'!E271</f>
        <v>1749901</v>
      </c>
      <c r="F360" s="137">
        <f>'Office Minor'!F271</f>
        <v>332481190</v>
      </c>
      <c r="G360" s="137">
        <f>'Office Minor'!G271</f>
        <v>149435586</v>
      </c>
      <c r="H360" s="137">
        <f>'Office Minor'!H271</f>
        <v>340</v>
      </c>
      <c r="K360" s="432">
        <f t="shared" si="24"/>
        <v>190</v>
      </c>
    </row>
    <row r="361" spans="1:11" s="432" customFormat="1" ht="17.100000000000001" customHeight="1" x14ac:dyDescent="0.25">
      <c r="A361" s="166">
        <v>18</v>
      </c>
      <c r="B361" s="433" t="s">
        <v>134</v>
      </c>
      <c r="C361" s="251">
        <f>'Office Minor'!C291</f>
        <v>16</v>
      </c>
      <c r="D361" s="251">
        <f>'Office Minor'!D291</f>
        <v>158.73310000000001</v>
      </c>
      <c r="E361" s="251">
        <f>'Office Minor'!E291</f>
        <v>15180.5</v>
      </c>
      <c r="F361" s="251">
        <f>'Office Minor'!F291</f>
        <v>3112002.5</v>
      </c>
      <c r="G361" s="251">
        <f>'Office Minor'!G291</f>
        <v>531317.5</v>
      </c>
      <c r="H361" s="251">
        <f>'Office Minor'!H291</f>
        <v>50</v>
      </c>
      <c r="K361" s="432">
        <f t="shared" si="24"/>
        <v>205</v>
      </c>
    </row>
    <row r="362" spans="1:11" s="432" customFormat="1" ht="17.100000000000001" customHeight="1" x14ac:dyDescent="0.25">
      <c r="A362" s="166">
        <v>19</v>
      </c>
      <c r="B362" s="433" t="s">
        <v>153</v>
      </c>
      <c r="C362" s="137">
        <f>'Office Minor'!C302</f>
        <v>30</v>
      </c>
      <c r="D362" s="137">
        <f>'Office Minor'!D302</f>
        <v>33.619999999999997</v>
      </c>
      <c r="E362" s="137">
        <f>'Office Minor'!E302</f>
        <v>623354</v>
      </c>
      <c r="F362" s="137">
        <f>'Office Minor'!F302</f>
        <v>121554189</v>
      </c>
      <c r="G362" s="137">
        <f>'Office Minor'!G302</f>
        <v>39364086</v>
      </c>
      <c r="H362" s="137">
        <f>'Office Minor'!H302</f>
        <v>200</v>
      </c>
      <c r="K362" s="432">
        <f t="shared" si="24"/>
        <v>195.00025507175698</v>
      </c>
    </row>
    <row r="363" spans="1:11" s="432" customFormat="1" ht="17.100000000000001" customHeight="1" x14ac:dyDescent="0.25">
      <c r="A363" s="166">
        <v>20</v>
      </c>
      <c r="B363" s="433" t="s">
        <v>105</v>
      </c>
      <c r="C363" s="63">
        <f>'Office Minor'!C316</f>
        <v>125</v>
      </c>
      <c r="D363" s="63">
        <f>'Office Minor'!D316</f>
        <v>125.49</v>
      </c>
      <c r="E363" s="63">
        <f>'Office Minor'!E316</f>
        <v>1050140</v>
      </c>
      <c r="F363" s="63">
        <f>'Office Minor'!F316</f>
        <v>204777300</v>
      </c>
      <c r="G363" s="63">
        <f>'Office Minor'!G316</f>
        <v>36025339</v>
      </c>
      <c r="H363" s="63">
        <f>'Office Minor'!H316</f>
        <v>640</v>
      </c>
      <c r="K363" s="432">
        <f t="shared" si="24"/>
        <v>195</v>
      </c>
    </row>
    <row r="364" spans="1:11" s="432" customFormat="1" ht="17.100000000000001" customHeight="1" x14ac:dyDescent="0.25">
      <c r="A364" s="166">
        <v>21</v>
      </c>
      <c r="B364" s="433" t="s">
        <v>154</v>
      </c>
      <c r="C364" s="63">
        <f>'Office Minor'!C347</f>
        <v>43</v>
      </c>
      <c r="D364" s="63">
        <f>'Office Minor'!D347</f>
        <v>47.87</v>
      </c>
      <c r="E364" s="63">
        <f>'Office Minor'!E347</f>
        <v>146729.75</v>
      </c>
      <c r="F364" s="63">
        <f>'Office Minor'!F347</f>
        <v>30813247.5</v>
      </c>
      <c r="G364" s="63">
        <f>'Office Minor'!G347</f>
        <v>19498550</v>
      </c>
      <c r="H364" s="63">
        <f>'Office Minor'!H347</f>
        <v>255</v>
      </c>
      <c r="K364" s="432">
        <f t="shared" si="24"/>
        <v>210</v>
      </c>
    </row>
    <row r="365" spans="1:11" s="432" customFormat="1" ht="17.100000000000001" customHeight="1" x14ac:dyDescent="0.25">
      <c r="A365" s="166">
        <v>22</v>
      </c>
      <c r="B365" s="433" t="s">
        <v>87</v>
      </c>
      <c r="C365" s="137">
        <f>'Office Minor'!C361</f>
        <v>738</v>
      </c>
      <c r="D365" s="137">
        <f>'Office Minor'!D361</f>
        <v>750.32</v>
      </c>
      <c r="E365" s="137">
        <f>'Office Minor'!E361</f>
        <v>15662317</v>
      </c>
      <c r="F365" s="137">
        <f>'Office Minor'!F361</f>
        <v>3445709819</v>
      </c>
      <c r="G365" s="137">
        <f>'Office Minor'!G361</f>
        <v>639094830</v>
      </c>
      <c r="H365" s="137">
        <f>'Office Minor'!H361</f>
        <v>11000</v>
      </c>
      <c r="K365" s="432">
        <f t="shared" si="24"/>
        <v>220.00000504395359</v>
      </c>
    </row>
    <row r="366" spans="1:11" s="432" customFormat="1" ht="17.100000000000001" customHeight="1" x14ac:dyDescent="0.25">
      <c r="A366" s="166">
        <v>23</v>
      </c>
      <c r="B366" s="433" t="s">
        <v>97</v>
      </c>
      <c r="C366" s="63">
        <f>'Office Minor'!C384</f>
        <v>256</v>
      </c>
      <c r="D366" s="63">
        <f>'Office Minor'!D384</f>
        <v>268.93</v>
      </c>
      <c r="E366" s="63">
        <f>'Office Minor'!E384</f>
        <v>1425449</v>
      </c>
      <c r="F366" s="63">
        <f>'Office Minor'!F384</f>
        <v>299344290</v>
      </c>
      <c r="G366" s="63">
        <f>'Office Minor'!G384</f>
        <v>48823267</v>
      </c>
      <c r="H366" s="63">
        <f>'Office Minor'!H384</f>
        <v>3115</v>
      </c>
      <c r="K366" s="432">
        <f t="shared" si="24"/>
        <v>210</v>
      </c>
    </row>
    <row r="367" spans="1:11" s="432" customFormat="1" ht="17.100000000000001" customHeight="1" x14ac:dyDescent="0.25">
      <c r="A367" s="166">
        <v>24</v>
      </c>
      <c r="B367" s="433" t="s">
        <v>128</v>
      </c>
      <c r="C367" s="255">
        <f>'Office Minor'!C397</f>
        <v>36</v>
      </c>
      <c r="D367" s="255">
        <f>'Office Minor'!D397</f>
        <v>39.1</v>
      </c>
      <c r="E367" s="255">
        <f>'Office Minor'!E397</f>
        <v>1725119</v>
      </c>
      <c r="F367" s="255">
        <f>'Office Minor'!F397</f>
        <v>353649395</v>
      </c>
      <c r="G367" s="255">
        <f>'Office Minor'!G397</f>
        <v>60379165</v>
      </c>
      <c r="H367" s="255">
        <f>'Office Minor'!H397</f>
        <v>150</v>
      </c>
      <c r="K367" s="432">
        <f t="shared" si="24"/>
        <v>205</v>
      </c>
    </row>
    <row r="368" spans="1:11" s="432" customFormat="1" ht="17.100000000000001" customHeight="1" x14ac:dyDescent="0.25">
      <c r="A368" s="166">
        <v>25</v>
      </c>
      <c r="B368" s="433" t="s">
        <v>143</v>
      </c>
      <c r="C368" s="143">
        <f>'Office Minor'!C415</f>
        <v>361</v>
      </c>
      <c r="D368" s="143">
        <f>'Office Minor'!D415</f>
        <v>471.63</v>
      </c>
      <c r="E368" s="143">
        <f>'Office Minor'!E415</f>
        <v>18758422</v>
      </c>
      <c r="F368" s="143">
        <f>'Office Minor'!F415</f>
        <v>3939268620</v>
      </c>
      <c r="G368" s="143">
        <f>'Office Minor'!G415</f>
        <v>807608000</v>
      </c>
      <c r="H368" s="143">
        <f>'Office Minor'!H415</f>
        <v>3785</v>
      </c>
      <c r="K368" s="432">
        <f t="shared" si="24"/>
        <v>210</v>
      </c>
    </row>
    <row r="369" spans="1:12" s="432" customFormat="1" ht="17.100000000000001" customHeight="1" x14ac:dyDescent="0.25">
      <c r="A369" s="166">
        <v>26</v>
      </c>
      <c r="B369" s="433" t="s">
        <v>118</v>
      </c>
      <c r="C369" s="203">
        <f>'Office Minor'!C434</f>
        <v>98</v>
      </c>
      <c r="D369" s="203">
        <f>'Office Minor'!D434</f>
        <v>98</v>
      </c>
      <c r="E369" s="203">
        <f>'Office Minor'!E434</f>
        <v>1855916</v>
      </c>
      <c r="F369" s="203">
        <f>'Office Minor'!F434</f>
        <v>380462823</v>
      </c>
      <c r="G369" s="203">
        <f>'Office Minor'!G434</f>
        <v>7557000</v>
      </c>
      <c r="H369" s="203">
        <f>'Office Minor'!H434</f>
        <v>410</v>
      </c>
      <c r="K369" s="432">
        <f t="shared" si="24"/>
        <v>205.00002316915206</v>
      </c>
      <c r="L369" s="19"/>
    </row>
    <row r="370" spans="1:12" s="432" customFormat="1" ht="17.100000000000001" customHeight="1" x14ac:dyDescent="0.25">
      <c r="A370" s="166">
        <v>27</v>
      </c>
      <c r="B370" s="455" t="s">
        <v>136</v>
      </c>
      <c r="C370" s="166">
        <f>'Office Minor'!C447</f>
        <v>96</v>
      </c>
      <c r="D370" s="166">
        <f>'Office Minor'!D447</f>
        <v>207.6</v>
      </c>
      <c r="E370" s="166">
        <f>'Office Minor'!E447</f>
        <v>648732</v>
      </c>
      <c r="F370" s="166">
        <f>'Office Minor'!F447</f>
        <v>116771760</v>
      </c>
      <c r="G370" s="166">
        <f>'Office Minor'!G447</f>
        <v>19461960</v>
      </c>
      <c r="H370" s="166">
        <f>'Office Minor'!H447</f>
        <v>150</v>
      </c>
      <c r="K370" s="432">
        <f t="shared" si="24"/>
        <v>180</v>
      </c>
    </row>
    <row r="371" spans="1:12" s="432" customFormat="1" ht="17.100000000000001" customHeight="1" x14ac:dyDescent="0.25">
      <c r="A371" s="166">
        <v>28</v>
      </c>
      <c r="B371" s="433" t="s">
        <v>119</v>
      </c>
      <c r="C371" s="209">
        <f>'Office Minor'!C464</f>
        <v>78</v>
      </c>
      <c r="D371" s="209">
        <f>'Office Minor'!D464</f>
        <v>78.599999999999994</v>
      </c>
      <c r="E371" s="209">
        <f>'Office Minor'!E464</f>
        <v>2057420</v>
      </c>
      <c r="F371" s="209">
        <f>'Office Minor'!F464</f>
        <v>432058300</v>
      </c>
      <c r="G371" s="209">
        <f>'Office Minor'!G464</f>
        <v>195302894</v>
      </c>
      <c r="H371" s="209">
        <f>'Office Minor'!H464</f>
        <v>234</v>
      </c>
      <c r="K371" s="432">
        <f t="shared" si="24"/>
        <v>210.00004860456301</v>
      </c>
    </row>
    <row r="372" spans="1:12" s="432" customFormat="1" ht="17.100000000000001" customHeight="1" x14ac:dyDescent="0.25">
      <c r="A372" s="166">
        <v>29</v>
      </c>
      <c r="B372" s="433" t="s">
        <v>88</v>
      </c>
      <c r="C372" s="63">
        <f>'Office Minor'!C477</f>
        <v>236</v>
      </c>
      <c r="D372" s="63">
        <f>'Office Minor'!D477</f>
        <v>238.09</v>
      </c>
      <c r="E372" s="63">
        <f>'Office Minor'!E477</f>
        <v>6963277</v>
      </c>
      <c r="F372" s="63">
        <f>'Office Minor'!F477</f>
        <v>1427471807</v>
      </c>
      <c r="G372" s="63">
        <f>'Office Minor'!G477</f>
        <v>300988154</v>
      </c>
      <c r="H372" s="63">
        <f>'Office Minor'!H477</f>
        <v>700</v>
      </c>
      <c r="K372" s="432">
        <f t="shared" si="24"/>
        <v>205.00000315943197</v>
      </c>
    </row>
    <row r="373" spans="1:12" s="432" customFormat="1" ht="17.100000000000001" customHeight="1" x14ac:dyDescent="0.25">
      <c r="A373" s="166">
        <v>30</v>
      </c>
      <c r="B373" s="433" t="s">
        <v>124</v>
      </c>
      <c r="C373" s="137">
        <f>'Office Minor'!C501</f>
        <v>154</v>
      </c>
      <c r="D373" s="137">
        <f>'Office Minor'!D501</f>
        <v>155.9</v>
      </c>
      <c r="E373" s="137">
        <f>'Office Minor'!E501</f>
        <v>678202</v>
      </c>
      <c r="F373" s="137">
        <f>'Office Minor'!F501</f>
        <v>132249548</v>
      </c>
      <c r="G373" s="137">
        <f>'Office Minor'!G501</f>
        <v>52612000</v>
      </c>
      <c r="H373" s="137">
        <f>'Office Minor'!H501</f>
        <v>660</v>
      </c>
      <c r="K373" s="432">
        <f t="shared" si="24"/>
        <v>195.00023296893846</v>
      </c>
    </row>
    <row r="374" spans="1:12" s="432" customFormat="1" ht="17.100000000000001" customHeight="1" x14ac:dyDescent="0.25">
      <c r="A374" s="166">
        <v>31</v>
      </c>
      <c r="B374" s="433" t="s">
        <v>107</v>
      </c>
      <c r="C374" s="63">
        <f>'Office Minor'!C513</f>
        <v>335</v>
      </c>
      <c r="D374" s="63">
        <f>'Office Minor'!D513</f>
        <v>337.88</v>
      </c>
      <c r="E374" s="63">
        <f>'Office Minor'!E513</f>
        <v>6209063</v>
      </c>
      <c r="F374" s="63">
        <f>'Office Minor'!F513</f>
        <v>1210767285</v>
      </c>
      <c r="G374" s="63">
        <f>'Office Minor'!G513</f>
        <v>74639225</v>
      </c>
      <c r="H374" s="63">
        <f>'Office Minor'!H513</f>
        <v>650</v>
      </c>
      <c r="K374" s="432">
        <f t="shared" si="24"/>
        <v>195</v>
      </c>
    </row>
    <row r="375" spans="1:12" s="432" customFormat="1" ht="17.100000000000001" customHeight="1" x14ac:dyDescent="0.25">
      <c r="A375" s="166">
        <v>32</v>
      </c>
      <c r="B375" s="433" t="s">
        <v>89</v>
      </c>
      <c r="C375" s="166">
        <f>'Office Minor'!C532</f>
        <v>346</v>
      </c>
      <c r="D375" s="166">
        <f>'Office Minor'!D532</f>
        <v>467.66</v>
      </c>
      <c r="E375" s="166">
        <f>'Office Minor'!E532</f>
        <v>16915660</v>
      </c>
      <c r="F375" s="166">
        <f>'Office Minor'!F532</f>
        <v>3129397099.5105352</v>
      </c>
      <c r="G375" s="166">
        <f>'Office Minor'!G532</f>
        <v>795642287</v>
      </c>
      <c r="H375" s="166">
        <f>'Office Minor'!H532</f>
        <v>3500</v>
      </c>
      <c r="K375" s="432">
        <f t="shared" si="24"/>
        <v>184.9999999710644</v>
      </c>
    </row>
    <row r="376" spans="1:12" s="432" customFormat="1" ht="17.100000000000001" customHeight="1" x14ac:dyDescent="0.25">
      <c r="A376" s="166">
        <v>33</v>
      </c>
      <c r="B376" s="433" t="s">
        <v>108</v>
      </c>
      <c r="C376" s="63">
        <f>'Office Minor'!C550</f>
        <v>5</v>
      </c>
      <c r="D376" s="63">
        <f>'Office Minor'!D550</f>
        <v>5.17</v>
      </c>
      <c r="E376" s="63">
        <f>'Office Minor'!E550</f>
        <v>5203</v>
      </c>
      <c r="F376" s="63">
        <f>'Office Minor'!F550</f>
        <v>988570</v>
      </c>
      <c r="G376" s="63">
        <f>'Office Minor'!G550</f>
        <v>114904</v>
      </c>
      <c r="H376" s="63">
        <f>'Office Minor'!H550</f>
        <v>40</v>
      </c>
      <c r="K376" s="432">
        <f t="shared" si="24"/>
        <v>190</v>
      </c>
    </row>
    <row r="377" spans="1:12" s="432" customFormat="1" ht="17.100000000000001" customHeight="1" x14ac:dyDescent="0.25">
      <c r="A377" s="166">
        <v>34</v>
      </c>
      <c r="B377" s="214" t="s">
        <v>111</v>
      </c>
      <c r="C377" s="221">
        <f>'Office Minor'!C567</f>
        <v>29</v>
      </c>
      <c r="D377" s="221">
        <f>'Office Minor'!D567</f>
        <v>35.19</v>
      </c>
      <c r="E377" s="221">
        <f>'Office Minor'!E567</f>
        <v>601146</v>
      </c>
      <c r="F377" s="221">
        <f>'Office Minor'!F567</f>
        <v>123234930</v>
      </c>
      <c r="G377" s="221">
        <f>'Office Minor'!G567</f>
        <v>19837818</v>
      </c>
      <c r="H377" s="221">
        <f>'Office Minor'!H567</f>
        <v>350</v>
      </c>
      <c r="K377" s="432">
        <f t="shared" si="24"/>
        <v>205</v>
      </c>
    </row>
    <row r="378" spans="1:12" s="432" customFormat="1" ht="17.100000000000001" customHeight="1" x14ac:dyDescent="0.25">
      <c r="A378" s="166">
        <v>35</v>
      </c>
      <c r="B378" s="433" t="s">
        <v>98</v>
      </c>
      <c r="C378" s="63">
        <f>'Office Minor'!C585</f>
        <v>26</v>
      </c>
      <c r="D378" s="63">
        <f>'Office Minor'!D585</f>
        <v>26</v>
      </c>
      <c r="E378" s="63">
        <f>'Office Minor'!E585</f>
        <v>9783887</v>
      </c>
      <c r="F378" s="63">
        <f>'Office Minor'!F585</f>
        <v>2690568930</v>
      </c>
      <c r="G378" s="63">
        <f>'Office Minor'!G585</f>
        <v>11774000</v>
      </c>
      <c r="H378" s="63">
        <f>'Office Minor'!H585</f>
        <v>335</v>
      </c>
      <c r="K378" s="432">
        <f t="shared" si="24"/>
        <v>275.00000051104433</v>
      </c>
    </row>
    <row r="379" spans="1:12" s="432" customFormat="1" ht="17.100000000000001" customHeight="1" x14ac:dyDescent="0.25">
      <c r="A379" s="166">
        <v>36</v>
      </c>
      <c r="B379" s="433" t="s">
        <v>90</v>
      </c>
      <c r="C379" s="137">
        <f>'Office Minor'!C601</f>
        <v>58</v>
      </c>
      <c r="D379" s="137">
        <f>'Office Minor'!D601</f>
        <v>67.349999999999994</v>
      </c>
      <c r="E379" s="137">
        <f>'Office Minor'!E601</f>
        <v>780248</v>
      </c>
      <c r="F379" s="137">
        <f>'Office Minor'!F601</f>
        <v>156049600</v>
      </c>
      <c r="G379" s="137">
        <f>'Office Minor'!G601</f>
        <v>31532000</v>
      </c>
      <c r="H379" s="137">
        <f>'Office Minor'!H601</f>
        <v>1005</v>
      </c>
      <c r="K379" s="432">
        <f t="shared" si="24"/>
        <v>200</v>
      </c>
    </row>
    <row r="380" spans="1:12" s="432" customFormat="1" ht="17.100000000000001" customHeight="1" x14ac:dyDescent="0.25">
      <c r="A380" s="166">
        <v>37</v>
      </c>
      <c r="B380" s="433" t="s">
        <v>120</v>
      </c>
      <c r="C380" s="204">
        <f>'Office Minor'!C619</f>
        <v>13</v>
      </c>
      <c r="D380" s="204">
        <f>'Office Minor'!D619</f>
        <v>14.37</v>
      </c>
      <c r="E380" s="204">
        <f>'Office Minor'!E619</f>
        <v>361758</v>
      </c>
      <c r="F380" s="204">
        <f>'Office Minor'!F619</f>
        <v>75969323</v>
      </c>
      <c r="G380" s="204">
        <f>'Office Minor'!G619</f>
        <v>623218</v>
      </c>
      <c r="H380" s="204">
        <f>'Office Minor'!H619</f>
        <v>50</v>
      </c>
      <c r="K380" s="432">
        <f t="shared" si="24"/>
        <v>210.00039529188021</v>
      </c>
    </row>
    <row r="381" spans="1:12" s="432" customFormat="1" ht="17.100000000000001" customHeight="1" x14ac:dyDescent="0.25">
      <c r="A381" s="166">
        <v>38</v>
      </c>
      <c r="B381" s="19" t="s">
        <v>389</v>
      </c>
      <c r="C381" s="204">
        <f>'Office Minor'!C641</f>
        <v>168</v>
      </c>
      <c r="D381" s="204">
        <f>'Office Minor'!D641</f>
        <v>172.93</v>
      </c>
      <c r="E381" s="204">
        <f>'Office Minor'!E641</f>
        <v>6150185</v>
      </c>
      <c r="F381" s="204">
        <f>'Office Minor'!F641</f>
        <v>1291538850</v>
      </c>
      <c r="G381" s="204">
        <f>'Office Minor'!G641</f>
        <v>215256475</v>
      </c>
      <c r="H381" s="204">
        <f>'Office Minor'!H641</f>
        <v>800</v>
      </c>
      <c r="K381" s="432">
        <f t="shared" si="24"/>
        <v>210</v>
      </c>
    </row>
    <row r="382" spans="1:12" s="432" customFormat="1" ht="17.100000000000001" customHeight="1" x14ac:dyDescent="0.25">
      <c r="A382" s="166">
        <v>39</v>
      </c>
      <c r="B382" s="433" t="s">
        <v>127</v>
      </c>
      <c r="C382" s="137">
        <f>'Office Minor'!C631</f>
        <v>11</v>
      </c>
      <c r="D382" s="137">
        <f>'Office Minor'!D631</f>
        <v>11</v>
      </c>
      <c r="E382" s="137">
        <f>'Office Minor'!E631</f>
        <v>157612</v>
      </c>
      <c r="F382" s="137">
        <f>'Office Minor'!F631</f>
        <v>31522400</v>
      </c>
      <c r="G382" s="137">
        <f>'Office Minor'!G631</f>
        <v>5516439</v>
      </c>
      <c r="H382" s="137">
        <f>'Office Minor'!H631</f>
        <v>90</v>
      </c>
      <c r="K382" s="432">
        <f t="shared" si="24"/>
        <v>200</v>
      </c>
    </row>
    <row r="383" spans="1:12" s="432" customFormat="1" ht="17.100000000000001" customHeight="1" x14ac:dyDescent="0.25">
      <c r="A383" s="166">
        <v>40</v>
      </c>
      <c r="B383" s="447" t="s">
        <v>376</v>
      </c>
      <c r="C383" s="137">
        <f>'Office Minor'!C693</f>
        <v>41</v>
      </c>
      <c r="D383" s="137">
        <f>'Office Minor'!D693</f>
        <v>41.83</v>
      </c>
      <c r="E383" s="137">
        <f>'Office Minor'!E693</f>
        <v>495424</v>
      </c>
      <c r="F383" s="137">
        <f>'Office Minor'!F693</f>
        <v>104039040</v>
      </c>
      <c r="G383" s="137">
        <f>'Office Minor'!G693</f>
        <v>17339840</v>
      </c>
      <c r="H383" s="137">
        <f>'Office Minor'!H693</f>
        <v>250</v>
      </c>
      <c r="K383" s="432">
        <f t="shared" si="24"/>
        <v>210</v>
      </c>
    </row>
    <row r="384" spans="1:12" s="432" customFormat="1" ht="17.100000000000001" customHeight="1" x14ac:dyDescent="0.25">
      <c r="A384" s="166">
        <v>41</v>
      </c>
      <c r="B384" s="433" t="s">
        <v>99</v>
      </c>
      <c r="C384" s="137">
        <f>'Office Minor'!C659</f>
        <v>0</v>
      </c>
      <c r="D384" s="137">
        <f>'Office Minor'!D659</f>
        <v>0</v>
      </c>
      <c r="E384" s="137">
        <f>'Office Minor'!E659</f>
        <v>3219</v>
      </c>
      <c r="F384" s="137">
        <f>'Office Minor'!F659</f>
        <v>675990</v>
      </c>
      <c r="G384" s="137">
        <f>'Office Minor'!G659</f>
        <v>80475</v>
      </c>
      <c r="H384" s="137">
        <f>'Office Minor'!H659</f>
        <v>10</v>
      </c>
      <c r="K384" s="432">
        <f t="shared" si="24"/>
        <v>210</v>
      </c>
    </row>
    <row r="385" spans="1:11" s="432" customFormat="1" ht="17.100000000000001" customHeight="1" x14ac:dyDescent="0.25">
      <c r="A385" s="166">
        <v>42</v>
      </c>
      <c r="B385" s="433" t="s">
        <v>125</v>
      </c>
      <c r="C385" s="143">
        <f>'Office Minor'!C674</f>
        <v>43</v>
      </c>
      <c r="D385" s="143">
        <f>'Office Minor'!D674</f>
        <v>102.44</v>
      </c>
      <c r="E385" s="143">
        <f>'Office Minor'!E674</f>
        <v>850083</v>
      </c>
      <c r="F385" s="143">
        <f>'Office Minor'!F674</f>
        <v>178517610</v>
      </c>
      <c r="G385" s="143">
        <f>'Office Minor'!G674</f>
        <v>59605810</v>
      </c>
      <c r="H385" s="143">
        <f>'Office Minor'!H674</f>
        <v>540</v>
      </c>
      <c r="K385" s="432">
        <f t="shared" si="24"/>
        <v>210.00021174402971</v>
      </c>
    </row>
    <row r="386" spans="1:11" s="432" customFormat="1" ht="17.100000000000001" customHeight="1" x14ac:dyDescent="0.25">
      <c r="A386" s="166">
        <v>43</v>
      </c>
      <c r="B386" s="433" t="s">
        <v>100</v>
      </c>
      <c r="C386" s="236">
        <f>'Office Minor'!C712</f>
        <v>175</v>
      </c>
      <c r="D386" s="236">
        <f>'Office Minor'!D712</f>
        <v>181.69</v>
      </c>
      <c r="E386" s="236">
        <f>'Office Minor'!E712</f>
        <v>3101572</v>
      </c>
      <c r="F386" s="236">
        <f>'Office Minor'!F712</f>
        <v>651330164</v>
      </c>
      <c r="G386" s="236">
        <f>'Office Minor'!G712</f>
        <v>136469177</v>
      </c>
      <c r="H386" s="236">
        <f>'Office Minor'!H712</f>
        <v>400</v>
      </c>
      <c r="K386" s="432">
        <f t="shared" si="24"/>
        <v>210.00001418635452</v>
      </c>
    </row>
    <row r="387" spans="1:11" s="432" customFormat="1" ht="17.100000000000001" customHeight="1" x14ac:dyDescent="0.25">
      <c r="A387" s="166">
        <v>44</v>
      </c>
      <c r="B387" s="433" t="s">
        <v>139</v>
      </c>
      <c r="C387" s="216">
        <f>'Office Minor'!C751</f>
        <v>202</v>
      </c>
      <c r="D387" s="216">
        <f>'Office Minor'!D751</f>
        <v>222.74</v>
      </c>
      <c r="E387" s="216">
        <f>'Office Minor'!E751</f>
        <v>2098402</v>
      </c>
      <c r="F387" s="216">
        <f>'Office Minor'!F751</f>
        <v>440664525</v>
      </c>
      <c r="G387" s="216">
        <f>'Office Minor'!G751</f>
        <v>62226532</v>
      </c>
      <c r="H387" s="216">
        <f>'Office Minor'!H751</f>
        <v>2200</v>
      </c>
      <c r="K387" s="432">
        <f t="shared" si="24"/>
        <v>210.00005003807658</v>
      </c>
    </row>
    <row r="388" spans="1:11" s="432" customFormat="1" ht="17.100000000000001" customHeight="1" x14ac:dyDescent="0.25">
      <c r="A388" s="166">
        <v>45</v>
      </c>
      <c r="B388" s="433" t="s">
        <v>116</v>
      </c>
      <c r="C388" s="63">
        <f>'Office Minor'!C775</f>
        <v>65</v>
      </c>
      <c r="D388" s="63">
        <f>'Office Minor'!D775</f>
        <v>68.69</v>
      </c>
      <c r="E388" s="63">
        <f>'Office Minor'!E775</f>
        <v>355472</v>
      </c>
      <c r="F388" s="63">
        <f>'Office Minor'!F775</f>
        <v>74649120</v>
      </c>
      <c r="G388" s="63">
        <f>'Office Minor'!G775</f>
        <v>12441520</v>
      </c>
      <c r="H388" s="63">
        <f>'Office Minor'!H775</f>
        <v>550</v>
      </c>
      <c r="K388" s="432">
        <f t="shared" si="24"/>
        <v>210</v>
      </c>
    </row>
    <row r="389" spans="1:11" s="432" customFormat="1" ht="17.100000000000001" customHeight="1" x14ac:dyDescent="0.25">
      <c r="A389" s="166">
        <v>46</v>
      </c>
      <c r="B389" s="433" t="s">
        <v>83</v>
      </c>
      <c r="C389" s="137">
        <f>'Office Minor'!C796</f>
        <v>155</v>
      </c>
      <c r="D389" s="137">
        <f>'Office Minor'!D796</f>
        <v>170.93</v>
      </c>
      <c r="E389" s="137">
        <f>'Office Minor'!E796</f>
        <v>3216419</v>
      </c>
      <c r="F389" s="137">
        <f>'Office Minor'!F796</f>
        <v>643283800</v>
      </c>
      <c r="G389" s="137">
        <f>'Office Minor'!G796</f>
        <v>136471310</v>
      </c>
      <c r="H389" s="137">
        <f>'Office Minor'!H796</f>
        <v>1150</v>
      </c>
      <c r="K389" s="432">
        <f t="shared" si="24"/>
        <v>200</v>
      </c>
    </row>
    <row r="390" spans="1:11" s="432" customFormat="1" ht="17.100000000000001" customHeight="1" x14ac:dyDescent="0.25">
      <c r="A390" s="1136" t="s">
        <v>50</v>
      </c>
      <c r="B390" s="1137"/>
      <c r="C390" s="258">
        <f>SUM(C344:C389)</f>
        <v>6093</v>
      </c>
      <c r="D390" s="429">
        <f>SUM(D344:D389)</f>
        <v>6964.3207999999986</v>
      </c>
      <c r="E390" s="430">
        <f>SUM(E344:E389)</f>
        <v>153132870.38</v>
      </c>
      <c r="F390" s="430">
        <f>SUM(F344:F389)</f>
        <v>31677843228.460537</v>
      </c>
      <c r="G390" s="430">
        <f>SUM(G344:G389)</f>
        <v>6596107814.5</v>
      </c>
      <c r="H390" s="430">
        <f t="shared" ref="H390" si="26">SUM(H344:H389)</f>
        <v>61990</v>
      </c>
      <c r="K390" s="432">
        <f t="shared" si="24"/>
        <v>206.86507834569946</v>
      </c>
    </row>
    <row r="391" spans="1:11" s="432" customFormat="1" ht="17.100000000000001" customHeight="1" x14ac:dyDescent="0.25">
      <c r="A391" s="21"/>
      <c r="B391" s="21"/>
      <c r="C391" s="21"/>
      <c r="D391" s="21"/>
      <c r="E391" s="21"/>
      <c r="F391" s="21"/>
      <c r="G391" s="21"/>
      <c r="H391" s="21"/>
      <c r="K391" s="432" t="e">
        <f t="shared" si="24"/>
        <v>#DIV/0!</v>
      </c>
    </row>
    <row r="392" spans="1:11" s="432" customFormat="1" ht="17.100000000000001" customHeight="1" x14ac:dyDescent="0.25">
      <c r="A392" s="1138" t="s">
        <v>159</v>
      </c>
      <c r="B392" s="1138"/>
      <c r="C392" s="1138"/>
      <c r="D392" s="1138"/>
      <c r="E392" s="1138"/>
      <c r="F392" s="1138"/>
      <c r="G392" s="1138"/>
      <c r="H392" s="1138"/>
      <c r="K392" s="432" t="e">
        <f t="shared" ref="K392:K455" si="27">F392/E392</f>
        <v>#DIV/0!</v>
      </c>
    </row>
    <row r="393" spans="1:11" s="432" customFormat="1" ht="17.100000000000001" customHeight="1" x14ac:dyDescent="0.25">
      <c r="A393" s="1122" t="s">
        <v>2</v>
      </c>
      <c r="B393" s="1124" t="s">
        <v>77</v>
      </c>
      <c r="C393" s="249" t="s">
        <v>4</v>
      </c>
      <c r="D393" s="249" t="s">
        <v>5</v>
      </c>
      <c r="E393" s="249" t="s">
        <v>6</v>
      </c>
      <c r="F393" s="249" t="s">
        <v>7</v>
      </c>
      <c r="G393" s="249" t="s">
        <v>8</v>
      </c>
      <c r="H393" s="249" t="s">
        <v>9</v>
      </c>
      <c r="K393" s="432" t="e">
        <f t="shared" si="27"/>
        <v>#VALUE!</v>
      </c>
    </row>
    <row r="394" spans="1:11" s="432" customFormat="1" ht="17.100000000000001" customHeight="1" x14ac:dyDescent="0.25">
      <c r="A394" s="1123"/>
      <c r="B394" s="1125"/>
      <c r="C394" s="2" t="s">
        <v>10</v>
      </c>
      <c r="D394" s="2" t="s">
        <v>78</v>
      </c>
      <c r="E394" s="2" t="s">
        <v>79</v>
      </c>
      <c r="F394" s="52" t="s">
        <v>80</v>
      </c>
      <c r="G394" s="52" t="s">
        <v>80</v>
      </c>
      <c r="H394" s="2" t="s">
        <v>13</v>
      </c>
      <c r="K394" s="432" t="e">
        <f t="shared" si="27"/>
        <v>#VALUE!</v>
      </c>
    </row>
    <row r="395" spans="1:11" s="432" customFormat="1" ht="17.100000000000001" customHeight="1" x14ac:dyDescent="0.25">
      <c r="A395" s="166">
        <v>1</v>
      </c>
      <c r="B395" s="19" t="s">
        <v>81</v>
      </c>
      <c r="C395" s="166">
        <f>'Office Minor'!C177</f>
        <v>1</v>
      </c>
      <c r="D395" s="166">
        <f>'Office Minor'!D177</f>
        <v>5</v>
      </c>
      <c r="E395" s="166">
        <f>'Office Minor'!E177</f>
        <v>0</v>
      </c>
      <c r="F395" s="166">
        <f>'Office Minor'!F177</f>
        <v>0</v>
      </c>
      <c r="G395" s="166">
        <f>'Office Minor'!G177</f>
        <v>0</v>
      </c>
      <c r="H395" s="166">
        <f>'Office Minor'!H177</f>
        <v>0</v>
      </c>
      <c r="K395" s="432" t="e">
        <f t="shared" si="27"/>
        <v>#DIV/0!</v>
      </c>
    </row>
    <row r="396" spans="1:11" s="432" customFormat="1" ht="17.100000000000001" customHeight="1" x14ac:dyDescent="0.25">
      <c r="A396" s="166">
        <v>2</v>
      </c>
      <c r="B396" s="19" t="s">
        <v>92</v>
      </c>
      <c r="C396" s="166">
        <f>'Office Minor'!C33</f>
        <v>29</v>
      </c>
      <c r="D396" s="166">
        <f>'Office Minor'!D33</f>
        <v>153</v>
      </c>
      <c r="E396" s="166">
        <f>'Office Minor'!E33</f>
        <v>13280</v>
      </c>
      <c r="F396" s="166">
        <f>'Office Minor'!F33</f>
        <v>25896000</v>
      </c>
      <c r="G396" s="166">
        <f>'Office Minor'!G33</f>
        <v>51822984</v>
      </c>
      <c r="H396" s="166">
        <f>'Office Minor'!H33</f>
        <v>250</v>
      </c>
      <c r="K396" s="432">
        <f t="shared" si="27"/>
        <v>1950</v>
      </c>
    </row>
    <row r="397" spans="1:11" s="432" customFormat="1" ht="17.100000000000001" customHeight="1" x14ac:dyDescent="0.25">
      <c r="A397" s="166">
        <v>3</v>
      </c>
      <c r="B397" s="19" t="s">
        <v>123</v>
      </c>
      <c r="C397" s="166">
        <f>'Office Minor'!C16</f>
        <v>2</v>
      </c>
      <c r="D397" s="166">
        <f>'Office Minor'!D16</f>
        <v>9.8800000000000008</v>
      </c>
      <c r="E397" s="166">
        <f>'Office Minor'!E16</f>
        <v>635</v>
      </c>
      <c r="F397" s="166">
        <f>'Office Minor'!F16</f>
        <v>1238250</v>
      </c>
      <c r="G397" s="166">
        <f>'Office Minor'!G16</f>
        <v>489653</v>
      </c>
      <c r="H397" s="166">
        <f>'Office Minor'!H16</f>
        <v>10</v>
      </c>
      <c r="K397" s="432">
        <f t="shared" si="27"/>
        <v>1950</v>
      </c>
    </row>
    <row r="398" spans="1:11" s="432" customFormat="1" ht="17.100000000000001" customHeight="1" x14ac:dyDescent="0.25">
      <c r="A398" s="166">
        <v>4</v>
      </c>
      <c r="B398" s="464" t="s">
        <v>376</v>
      </c>
      <c r="C398" s="166">
        <f>'Office Minor'!C698</f>
        <v>0</v>
      </c>
      <c r="D398" s="166">
        <f>'Office Minor'!D698</f>
        <v>0</v>
      </c>
      <c r="E398" s="166">
        <f>'Office Minor'!E698</f>
        <v>4557</v>
      </c>
      <c r="F398" s="166">
        <f>'Office Minor'!F698</f>
        <v>8886150</v>
      </c>
      <c r="G398" s="166">
        <f>'Office Minor'!G698</f>
        <v>464814</v>
      </c>
      <c r="H398" s="166">
        <f>'Office Minor'!H698</f>
        <v>50</v>
      </c>
      <c r="K398" s="432">
        <f t="shared" si="27"/>
        <v>1950</v>
      </c>
    </row>
    <row r="399" spans="1:11" s="432" customFormat="1" ht="17.100000000000001" customHeight="1" x14ac:dyDescent="0.25">
      <c r="A399" s="166">
        <v>5</v>
      </c>
      <c r="B399" s="19" t="s">
        <v>87</v>
      </c>
      <c r="C399" s="166">
        <f>'Office Minor'!C374</f>
        <v>1</v>
      </c>
      <c r="D399" s="166">
        <f>'Office Minor'!D374</f>
        <v>4.9800000000000004</v>
      </c>
      <c r="E399" s="166">
        <f>'Office Minor'!E374</f>
        <v>0</v>
      </c>
      <c r="F399" s="166">
        <f>'Office Minor'!F374</f>
        <v>0</v>
      </c>
      <c r="G399" s="166">
        <f>'Office Minor'!G374</f>
        <v>0</v>
      </c>
      <c r="H399" s="166">
        <f>'Office Minor'!H374</f>
        <v>0</v>
      </c>
      <c r="K399" s="432" t="e">
        <f t="shared" si="27"/>
        <v>#DIV/0!</v>
      </c>
    </row>
    <row r="400" spans="1:11" s="432" customFormat="1" ht="17.100000000000001" customHeight="1" x14ac:dyDescent="0.25">
      <c r="A400" s="166">
        <v>6</v>
      </c>
      <c r="B400" s="628" t="s">
        <v>116</v>
      </c>
      <c r="C400" s="166">
        <f>'Office Minor'!C784</f>
        <v>12</v>
      </c>
      <c r="D400" s="166">
        <f>'Office Minor'!D784</f>
        <v>60.75</v>
      </c>
      <c r="E400" s="166">
        <f>'Office Minor'!E784</f>
        <v>5420</v>
      </c>
      <c r="F400" s="166">
        <f>'Office Minor'!F784</f>
        <v>9756000</v>
      </c>
      <c r="G400" s="166">
        <f>'Office Minor'!G784</f>
        <v>650400</v>
      </c>
      <c r="H400" s="166">
        <f>'Office Minor'!H784</f>
        <v>0</v>
      </c>
      <c r="K400" s="432">
        <f t="shared" si="27"/>
        <v>1800</v>
      </c>
    </row>
    <row r="401" spans="1:11" s="432" customFormat="1" ht="17.100000000000001" customHeight="1" x14ac:dyDescent="0.25">
      <c r="A401" s="1136" t="s">
        <v>50</v>
      </c>
      <c r="B401" s="1137"/>
      <c r="C401" s="259">
        <f>SUM(C395:C400)</f>
        <v>45</v>
      </c>
      <c r="D401" s="259">
        <f t="shared" ref="D401:H401" si="28">SUM(D395:D400)</f>
        <v>233.60999999999999</v>
      </c>
      <c r="E401" s="259">
        <f t="shared" si="28"/>
        <v>23892</v>
      </c>
      <c r="F401" s="259">
        <f t="shared" si="28"/>
        <v>45776400</v>
      </c>
      <c r="G401" s="259">
        <f>SUM(G395:G400)</f>
        <v>53427851</v>
      </c>
      <c r="H401" s="259">
        <f t="shared" si="28"/>
        <v>310</v>
      </c>
      <c r="K401" s="432">
        <f t="shared" si="27"/>
        <v>1915.971873430437</v>
      </c>
    </row>
    <row r="402" spans="1:11" s="432" customFormat="1" ht="17.100000000000001" customHeight="1" x14ac:dyDescent="0.25">
      <c r="A402" s="21"/>
      <c r="B402" s="21"/>
      <c r="C402" s="21"/>
      <c r="D402" s="21"/>
      <c r="E402" s="21"/>
      <c r="F402" s="21"/>
      <c r="G402" s="21"/>
      <c r="H402" s="21"/>
      <c r="K402" s="432" t="e">
        <f t="shared" si="27"/>
        <v>#DIV/0!</v>
      </c>
    </row>
    <row r="403" spans="1:11" s="432" customFormat="1" ht="17.100000000000001" customHeight="1" x14ac:dyDescent="0.25">
      <c r="A403" s="1138" t="s">
        <v>379</v>
      </c>
      <c r="B403" s="1138"/>
      <c r="C403" s="1138"/>
      <c r="D403" s="1138"/>
      <c r="E403" s="1138"/>
      <c r="F403" s="1138"/>
      <c r="G403" s="1138"/>
      <c r="H403" s="1138"/>
      <c r="K403" s="432" t="e">
        <f t="shared" si="27"/>
        <v>#DIV/0!</v>
      </c>
    </row>
    <row r="404" spans="1:11" s="432" customFormat="1" ht="17.100000000000001" customHeight="1" x14ac:dyDescent="0.25">
      <c r="A404" s="1122" t="s">
        <v>2</v>
      </c>
      <c r="B404" s="1124" t="s">
        <v>77</v>
      </c>
      <c r="C404" s="249" t="s">
        <v>4</v>
      </c>
      <c r="D404" s="249" t="s">
        <v>5</v>
      </c>
      <c r="E404" s="249" t="s">
        <v>6</v>
      </c>
      <c r="F404" s="249" t="s">
        <v>7</v>
      </c>
      <c r="G404" s="249" t="s">
        <v>8</v>
      </c>
      <c r="H404" s="249" t="s">
        <v>9</v>
      </c>
      <c r="K404" s="432" t="e">
        <f t="shared" si="27"/>
        <v>#VALUE!</v>
      </c>
    </row>
    <row r="405" spans="1:11" s="432" customFormat="1" ht="17.100000000000001" customHeight="1" x14ac:dyDescent="0.25">
      <c r="A405" s="1123"/>
      <c r="B405" s="1125"/>
      <c r="C405" s="2" t="s">
        <v>10</v>
      </c>
      <c r="D405" s="2" t="s">
        <v>78</v>
      </c>
      <c r="E405" s="2" t="s">
        <v>79</v>
      </c>
      <c r="F405" s="52" t="s">
        <v>80</v>
      </c>
      <c r="G405" s="52" t="s">
        <v>80</v>
      </c>
      <c r="H405" s="2" t="s">
        <v>13</v>
      </c>
      <c r="K405" s="432" t="e">
        <f t="shared" si="27"/>
        <v>#VALUE!</v>
      </c>
    </row>
    <row r="406" spans="1:11" s="432" customFormat="1" ht="17.100000000000001" customHeight="1" x14ac:dyDescent="0.25">
      <c r="A406" s="166">
        <v>1</v>
      </c>
      <c r="B406" s="19" t="s">
        <v>389</v>
      </c>
      <c r="C406" s="143">
        <f>'Office Minor'!C644</f>
        <v>2</v>
      </c>
      <c r="D406" s="143">
        <f>'Office Minor'!D644</f>
        <v>965.94</v>
      </c>
      <c r="E406" s="143">
        <f>'Office Minor'!E644</f>
        <v>0</v>
      </c>
      <c r="F406" s="143">
        <f>'Office Minor'!F644</f>
        <v>0</v>
      </c>
      <c r="G406" s="143">
        <f>'Office Minor'!G644</f>
        <v>0</v>
      </c>
      <c r="H406" s="143">
        <f>'Office Minor'!H644</f>
        <v>0</v>
      </c>
      <c r="K406" s="432" t="e">
        <f t="shared" si="27"/>
        <v>#DIV/0!</v>
      </c>
    </row>
    <row r="407" spans="1:11" s="432" customFormat="1" ht="17.100000000000001" customHeight="1" x14ac:dyDescent="0.25">
      <c r="A407" s="166">
        <v>2</v>
      </c>
      <c r="B407" s="19" t="s">
        <v>136</v>
      </c>
      <c r="C407" s="166">
        <f>'Office Minor'!C446</f>
        <v>2</v>
      </c>
      <c r="D407" s="166">
        <f>'Office Minor'!D446</f>
        <v>6.23</v>
      </c>
      <c r="E407" s="166">
        <f>'Office Minor'!E446</f>
        <v>0</v>
      </c>
      <c r="F407" s="166">
        <f>'Office Minor'!F446</f>
        <v>0</v>
      </c>
      <c r="G407" s="166">
        <f>'Office Minor'!G446</f>
        <v>0</v>
      </c>
      <c r="H407" s="166">
        <f>'Office Minor'!H446</f>
        <v>0</v>
      </c>
      <c r="K407" s="432" t="e">
        <f t="shared" si="27"/>
        <v>#DIV/0!</v>
      </c>
    </row>
    <row r="408" spans="1:11" s="432" customFormat="1" ht="17.100000000000001" customHeight="1" x14ac:dyDescent="0.25">
      <c r="A408" s="1136" t="s">
        <v>50</v>
      </c>
      <c r="B408" s="1137"/>
      <c r="C408" s="259">
        <f>SUM(C406:C407)</f>
        <v>4</v>
      </c>
      <c r="D408" s="260">
        <f t="shared" ref="D408:H408" si="29">SUM(D406:D407)</f>
        <v>972.17000000000007</v>
      </c>
      <c r="E408" s="261">
        <f t="shared" si="29"/>
        <v>0</v>
      </c>
      <c r="F408" s="261">
        <f t="shared" si="29"/>
        <v>0</v>
      </c>
      <c r="G408" s="260">
        <f>SUM(G406:G407)</f>
        <v>0</v>
      </c>
      <c r="H408" s="259">
        <f t="shared" si="29"/>
        <v>0</v>
      </c>
      <c r="K408" s="432" t="e">
        <f t="shared" si="27"/>
        <v>#DIV/0!</v>
      </c>
    </row>
    <row r="409" spans="1:11" s="432" customFormat="1" ht="17.100000000000001" customHeight="1" x14ac:dyDescent="0.25">
      <c r="A409" s="21"/>
      <c r="B409" s="21"/>
      <c r="C409" s="21"/>
      <c r="D409" s="21"/>
      <c r="E409" s="21"/>
      <c r="F409" s="21"/>
      <c r="G409" s="21"/>
      <c r="H409" s="21"/>
      <c r="K409" s="432" t="e">
        <f t="shared" si="27"/>
        <v>#DIV/0!</v>
      </c>
    </row>
    <row r="410" spans="1:11" s="432" customFormat="1" ht="17.100000000000001" customHeight="1" x14ac:dyDescent="0.25">
      <c r="A410" s="1149" t="s">
        <v>65</v>
      </c>
      <c r="B410" s="1149"/>
      <c r="C410" s="1149"/>
      <c r="D410" s="1149"/>
      <c r="E410" s="1149"/>
      <c r="F410" s="1149"/>
      <c r="G410" s="1149"/>
      <c r="H410" s="1149"/>
      <c r="K410" s="432" t="e">
        <f t="shared" si="27"/>
        <v>#DIV/0!</v>
      </c>
    </row>
    <row r="411" spans="1:11" s="432" customFormat="1" ht="17.100000000000001" customHeight="1" x14ac:dyDescent="0.25">
      <c r="A411" s="1122" t="s">
        <v>2</v>
      </c>
      <c r="B411" s="1124" t="s">
        <v>77</v>
      </c>
      <c r="C411" s="249" t="s">
        <v>4</v>
      </c>
      <c r="D411" s="249" t="s">
        <v>5</v>
      </c>
      <c r="E411" s="249" t="s">
        <v>6</v>
      </c>
      <c r="F411" s="249" t="s">
        <v>7</v>
      </c>
      <c r="G411" s="249" t="s">
        <v>8</v>
      </c>
      <c r="H411" s="249" t="s">
        <v>9</v>
      </c>
      <c r="K411" s="432" t="e">
        <f t="shared" si="27"/>
        <v>#VALUE!</v>
      </c>
    </row>
    <row r="412" spans="1:11" s="432" customFormat="1" ht="17.100000000000001" customHeight="1" x14ac:dyDescent="0.25">
      <c r="A412" s="1123"/>
      <c r="B412" s="1125"/>
      <c r="C412" s="2" t="s">
        <v>10</v>
      </c>
      <c r="D412" s="2" t="s">
        <v>52</v>
      </c>
      <c r="E412" s="2" t="s">
        <v>79</v>
      </c>
      <c r="F412" s="52" t="s">
        <v>80</v>
      </c>
      <c r="G412" s="52" t="s">
        <v>80</v>
      </c>
      <c r="H412" s="2" t="s">
        <v>13</v>
      </c>
      <c r="K412" s="432" t="e">
        <f t="shared" si="27"/>
        <v>#VALUE!</v>
      </c>
    </row>
    <row r="413" spans="1:11" s="432" customFormat="1" ht="17.100000000000001" customHeight="1" x14ac:dyDescent="0.25">
      <c r="A413" s="210">
        <v>1</v>
      </c>
      <c r="B413" s="211" t="s">
        <v>92</v>
      </c>
      <c r="C413" s="186">
        <f>'Office Minor'!C34</f>
        <v>0</v>
      </c>
      <c r="D413" s="186">
        <f>'Office Minor'!D34</f>
        <v>0</v>
      </c>
      <c r="E413" s="186">
        <f>'Office Minor'!E34</f>
        <v>34542</v>
      </c>
      <c r="F413" s="619">
        <f>'Office Minor'!F34</f>
        <v>863560</v>
      </c>
      <c r="G413" s="186">
        <f>'Office Minor'!G34</f>
        <v>1631136</v>
      </c>
      <c r="H413" s="186">
        <f>'Office Minor'!H34</f>
        <v>40</v>
      </c>
      <c r="K413" s="432">
        <f t="shared" si="27"/>
        <v>25.000289502634473</v>
      </c>
    </row>
    <row r="414" spans="1:11" s="432" customFormat="1" ht="17.100000000000001" customHeight="1" x14ac:dyDescent="0.25">
      <c r="A414" s="166">
        <v>2</v>
      </c>
      <c r="B414" s="454" t="s">
        <v>145</v>
      </c>
      <c r="C414" s="166">
        <f>'Office Minor'!C65</f>
        <v>0</v>
      </c>
      <c r="D414" s="166">
        <f>'Office Minor'!D65</f>
        <v>0</v>
      </c>
      <c r="E414" s="166">
        <f>'Office Minor'!E65</f>
        <v>1225876.5</v>
      </c>
      <c r="F414" s="166">
        <f>'Office Minor'!F65</f>
        <v>39228048</v>
      </c>
      <c r="G414" s="166">
        <f>'Office Minor'!G65</f>
        <v>7355259</v>
      </c>
      <c r="H414" s="166">
        <f>'Office Minor'!H65</f>
        <v>1985</v>
      </c>
      <c r="K414" s="432">
        <f t="shared" si="27"/>
        <v>32</v>
      </c>
    </row>
    <row r="415" spans="1:11" s="432" customFormat="1" ht="17.100000000000001" customHeight="1" x14ac:dyDescent="0.25">
      <c r="A415" s="210">
        <v>3</v>
      </c>
      <c r="B415" s="454" t="s">
        <v>191</v>
      </c>
      <c r="C415" s="166">
        <f>'Office Minor'!C133</f>
        <v>0</v>
      </c>
      <c r="D415" s="166">
        <f>'Office Minor'!D133</f>
        <v>0</v>
      </c>
      <c r="E415" s="166">
        <f>'Office Minor'!E133</f>
        <v>545358</v>
      </c>
      <c r="F415" s="166">
        <f>'Office Minor'!F133</f>
        <v>13633950</v>
      </c>
      <c r="G415" s="166">
        <f>'Office Minor'!G133</f>
        <v>1022469</v>
      </c>
      <c r="H415" s="166">
        <f>'Office Minor'!H133</f>
        <v>4</v>
      </c>
      <c r="K415" s="432">
        <f t="shared" si="27"/>
        <v>25</v>
      </c>
    </row>
    <row r="416" spans="1:11" s="432" customFormat="1" ht="17.100000000000001" customHeight="1" x14ac:dyDescent="0.25">
      <c r="A416" s="166">
        <v>4</v>
      </c>
      <c r="B416" s="454" t="s">
        <v>151</v>
      </c>
      <c r="C416" s="166">
        <f>'Office Minor'!C114</f>
        <v>0</v>
      </c>
      <c r="D416" s="166">
        <f>'Office Minor'!D114</f>
        <v>0</v>
      </c>
      <c r="E416" s="166">
        <f>'Office Minor'!E114</f>
        <v>0</v>
      </c>
      <c r="F416" s="166">
        <f>'Office Minor'!F114</f>
        <v>0</v>
      </c>
      <c r="G416" s="166">
        <f>'Office Minor'!G114</f>
        <v>0</v>
      </c>
      <c r="H416" s="166">
        <f>'Office Minor'!H114</f>
        <v>0</v>
      </c>
      <c r="K416" s="432" t="e">
        <f t="shared" si="27"/>
        <v>#DIV/0!</v>
      </c>
    </row>
    <row r="417" spans="1:11" s="432" customFormat="1" ht="17.100000000000001" customHeight="1" x14ac:dyDescent="0.25">
      <c r="A417" s="210">
        <v>5</v>
      </c>
      <c r="B417" s="454" t="s">
        <v>113</v>
      </c>
      <c r="C417" s="166">
        <f>'Office Minor'!C160</f>
        <v>3</v>
      </c>
      <c r="D417" s="166">
        <f>'Office Minor'!D160</f>
        <v>2</v>
      </c>
      <c r="E417" s="166">
        <f>'Office Minor'!E160</f>
        <v>274000</v>
      </c>
      <c r="F417" s="166">
        <f>'Office Minor'!F160</f>
        <v>9590000</v>
      </c>
      <c r="G417" s="166">
        <f>'Office Minor'!G160</f>
        <v>2379640</v>
      </c>
      <c r="H417" s="166">
        <f>'Office Minor'!H160</f>
        <v>10</v>
      </c>
      <c r="K417" s="432">
        <f t="shared" si="27"/>
        <v>35</v>
      </c>
    </row>
    <row r="418" spans="1:11" s="432" customFormat="1" ht="17.100000000000001" customHeight="1" x14ac:dyDescent="0.25">
      <c r="A418" s="166">
        <v>6</v>
      </c>
      <c r="B418" s="433" t="s">
        <v>140</v>
      </c>
      <c r="C418" s="204">
        <f>'Office Minor'!C94</f>
        <v>0</v>
      </c>
      <c r="D418" s="204">
        <f>'Office Minor'!D94</f>
        <v>0</v>
      </c>
      <c r="E418" s="204">
        <f>'Office Minor'!E94</f>
        <v>385979.18599999999</v>
      </c>
      <c r="F418" s="204">
        <f>'Office Minor'!F94</f>
        <v>13509271.461999999</v>
      </c>
      <c r="G418" s="204">
        <f>'Office Minor'!G94</f>
        <v>2418683</v>
      </c>
      <c r="H418" s="204">
        <f>'Office Minor'!H94</f>
        <v>50</v>
      </c>
      <c r="K418" s="432">
        <f t="shared" si="27"/>
        <v>34.99999987564096</v>
      </c>
    </row>
    <row r="419" spans="1:11" s="432" customFormat="1" ht="17.100000000000001" customHeight="1" x14ac:dyDescent="0.25">
      <c r="A419" s="210">
        <v>7</v>
      </c>
      <c r="B419" s="433" t="s">
        <v>104</v>
      </c>
      <c r="C419" s="137">
        <f>'Office Minor'!C252</f>
        <v>0</v>
      </c>
      <c r="D419" s="137">
        <f>'Office Minor'!D252</f>
        <v>0</v>
      </c>
      <c r="E419" s="137">
        <f>'Office Minor'!E252</f>
        <v>148794</v>
      </c>
      <c r="F419" s="137">
        <f>'Office Minor'!F252</f>
        <v>4166232</v>
      </c>
      <c r="G419" s="137">
        <f>'Office Minor'!G252</f>
        <v>15954867</v>
      </c>
      <c r="H419" s="137">
        <f>'Office Minor'!H252</f>
        <v>50</v>
      </c>
      <c r="K419" s="432">
        <f t="shared" si="27"/>
        <v>28</v>
      </c>
    </row>
    <row r="420" spans="1:11" s="432" customFormat="1" ht="17.100000000000001" customHeight="1" x14ac:dyDescent="0.25">
      <c r="A420" s="166">
        <v>8</v>
      </c>
      <c r="B420" s="433" t="s">
        <v>110</v>
      </c>
      <c r="C420" s="137">
        <f>'Office Minor'!C274</f>
        <v>0</v>
      </c>
      <c r="D420" s="137">
        <f>'Office Minor'!D274</f>
        <v>0</v>
      </c>
      <c r="E420" s="137">
        <f>'Office Minor'!E274</f>
        <v>3431006</v>
      </c>
      <c r="F420" s="137">
        <f>'Office Minor'!F274</f>
        <v>85775150</v>
      </c>
      <c r="G420" s="137">
        <f>'Office Minor'!G274</f>
        <v>22624619</v>
      </c>
      <c r="H420" s="137">
        <f>'Office Minor'!H274</f>
        <v>150</v>
      </c>
      <c r="K420" s="432">
        <f t="shared" si="27"/>
        <v>25</v>
      </c>
    </row>
    <row r="421" spans="1:11" s="432" customFormat="1" ht="17.100000000000001" customHeight="1" x14ac:dyDescent="0.25">
      <c r="A421" s="210">
        <v>9</v>
      </c>
      <c r="B421" s="433" t="s">
        <v>154</v>
      </c>
      <c r="C421" s="137">
        <f>'Office Minor'!C351</f>
        <v>2</v>
      </c>
      <c r="D421" s="137">
        <f>'Office Minor'!D351</f>
        <v>2</v>
      </c>
      <c r="E421" s="137">
        <f>'Office Minor'!E351</f>
        <v>89213</v>
      </c>
      <c r="F421" s="137">
        <f>'Office Minor'!F351</f>
        <v>2497969</v>
      </c>
      <c r="G421" s="137">
        <f>'Office Minor'!G351</f>
        <v>1998375</v>
      </c>
      <c r="H421" s="137">
        <f>'Office Minor'!H351</f>
        <v>50</v>
      </c>
      <c r="K421" s="432">
        <f t="shared" si="27"/>
        <v>28.000056045643571</v>
      </c>
    </row>
    <row r="422" spans="1:11" s="432" customFormat="1" ht="17.100000000000001" customHeight="1" x14ac:dyDescent="0.25">
      <c r="A422" s="166">
        <v>10</v>
      </c>
      <c r="B422" s="433" t="s">
        <v>118</v>
      </c>
      <c r="C422" s="137">
        <f>'Office Minor'!C435</f>
        <v>3</v>
      </c>
      <c r="D422" s="137">
        <f>'Office Minor'!D435</f>
        <v>3</v>
      </c>
      <c r="E422" s="137">
        <f>'Office Minor'!E435</f>
        <v>5459</v>
      </c>
      <c r="F422" s="137">
        <f>'Office Minor'!F435</f>
        <v>136486</v>
      </c>
      <c r="G422" s="137">
        <f>'Office Minor'!G435</f>
        <v>128000</v>
      </c>
      <c r="H422" s="137">
        <f>'Office Minor'!H435</f>
        <v>2</v>
      </c>
      <c r="K422" s="432">
        <f t="shared" si="27"/>
        <v>25.002015021066128</v>
      </c>
    </row>
    <row r="423" spans="1:11" s="432" customFormat="1" ht="17.100000000000001" customHeight="1" x14ac:dyDescent="0.25">
      <c r="A423" s="210">
        <v>11</v>
      </c>
      <c r="B423" s="433" t="s">
        <v>128</v>
      </c>
      <c r="C423" s="255">
        <f>'Office Minor'!C403</f>
        <v>0</v>
      </c>
      <c r="D423" s="255">
        <f>'Office Minor'!D403</f>
        <v>0</v>
      </c>
      <c r="E423" s="255">
        <f>'Office Minor'!E403</f>
        <v>906102</v>
      </c>
      <c r="F423" s="255">
        <f>'Office Minor'!F403</f>
        <v>22652550</v>
      </c>
      <c r="G423" s="255">
        <f>'Office Minor'!G403</f>
        <v>5436000</v>
      </c>
      <c r="H423" s="255">
        <f>'Office Minor'!H403</f>
        <v>75</v>
      </c>
      <c r="K423" s="432">
        <f t="shared" si="27"/>
        <v>25</v>
      </c>
    </row>
    <row r="424" spans="1:11" s="432" customFormat="1" ht="17.100000000000001" customHeight="1" x14ac:dyDescent="0.25">
      <c r="A424" s="166">
        <v>12</v>
      </c>
      <c r="B424" s="433" t="s">
        <v>612</v>
      </c>
      <c r="C424" s="255">
        <f>'Office Minor'!C388</f>
        <v>0</v>
      </c>
      <c r="D424" s="255">
        <f>'Office Minor'!D388</f>
        <v>0</v>
      </c>
      <c r="E424" s="255">
        <f>'Office Minor'!E388</f>
        <v>599994</v>
      </c>
      <c r="F424" s="255">
        <f>'Office Minor'!F388</f>
        <v>20999790</v>
      </c>
      <c r="G424" s="255">
        <f>'Office Minor'!G388</f>
        <v>6553870</v>
      </c>
      <c r="H424" s="255">
        <f>'Office Minor'!H388</f>
        <v>1202</v>
      </c>
      <c r="K424" s="432">
        <f t="shared" si="27"/>
        <v>35</v>
      </c>
    </row>
    <row r="425" spans="1:11" s="432" customFormat="1" ht="17.100000000000001" customHeight="1" x14ac:dyDescent="0.25">
      <c r="A425" s="210">
        <v>13</v>
      </c>
      <c r="B425" s="433" t="s">
        <v>136</v>
      </c>
      <c r="C425" s="137">
        <f>'Office Minor'!C452</f>
        <v>0</v>
      </c>
      <c r="D425" s="137">
        <f>'Office Minor'!D452</f>
        <v>0</v>
      </c>
      <c r="E425" s="137">
        <f>'Office Minor'!E452</f>
        <v>0</v>
      </c>
      <c r="F425" s="137">
        <f>'Office Minor'!F452</f>
        <v>0</v>
      </c>
      <c r="G425" s="137">
        <f>'Office Minor'!G452</f>
        <v>0</v>
      </c>
      <c r="H425" s="137">
        <f>'Office Minor'!H452</f>
        <v>0</v>
      </c>
      <c r="K425" s="432" t="e">
        <f t="shared" si="27"/>
        <v>#DIV/0!</v>
      </c>
    </row>
    <row r="426" spans="1:11" s="432" customFormat="1" ht="17.100000000000001" customHeight="1" x14ac:dyDescent="0.25">
      <c r="A426" s="166">
        <v>14</v>
      </c>
      <c r="B426" s="433" t="s">
        <v>395</v>
      </c>
      <c r="C426" s="137">
        <f>'Office Minor'!C480</f>
        <v>0</v>
      </c>
      <c r="D426" s="137">
        <f>'Office Minor'!D480</f>
        <v>0</v>
      </c>
      <c r="E426" s="137">
        <f>'Office Minor'!E480</f>
        <v>2095</v>
      </c>
      <c r="F426" s="137">
        <f>'Office Minor'!F480</f>
        <v>73325</v>
      </c>
      <c r="G426" s="137">
        <f>'Office Minor'!G480</f>
        <v>1143150</v>
      </c>
      <c r="H426" s="137">
        <f>'Office Minor'!H480</f>
        <v>10</v>
      </c>
      <c r="K426" s="432">
        <f t="shared" si="27"/>
        <v>35</v>
      </c>
    </row>
    <row r="427" spans="1:11" s="432" customFormat="1" ht="17.100000000000001" customHeight="1" x14ac:dyDescent="0.25">
      <c r="A427" s="210">
        <v>15</v>
      </c>
      <c r="B427" s="433" t="s">
        <v>95</v>
      </c>
      <c r="C427" s="137">
        <f>'Office Minor'!C756</f>
        <v>0</v>
      </c>
      <c r="D427" s="137">
        <f>'Office Minor'!D756</f>
        <v>0</v>
      </c>
      <c r="E427" s="137">
        <f>'Office Minor'!E756</f>
        <v>3540398</v>
      </c>
      <c r="F427" s="137">
        <f>'Office Minor'!F756</f>
        <v>99131125</v>
      </c>
      <c r="G427" s="137">
        <f>'Office Minor'!G756</f>
        <v>5289510</v>
      </c>
      <c r="H427" s="137">
        <f>'Office Minor'!H756</f>
        <v>250</v>
      </c>
      <c r="K427" s="432">
        <f t="shared" si="27"/>
        <v>27.999994633371728</v>
      </c>
    </row>
    <row r="428" spans="1:11" s="432" customFormat="1" ht="17.100000000000001" customHeight="1" x14ac:dyDescent="0.25">
      <c r="A428" s="166">
        <v>16</v>
      </c>
      <c r="B428" s="433" t="s">
        <v>91</v>
      </c>
      <c r="C428" s="137">
        <f>'Office Minor'!C738</f>
        <v>0</v>
      </c>
      <c r="D428" s="137">
        <f>'Office Minor'!D738</f>
        <v>0</v>
      </c>
      <c r="E428" s="137">
        <f>'Office Minor'!E738</f>
        <v>13478</v>
      </c>
      <c r="F428" s="137">
        <f>'Office Minor'!F738</f>
        <v>404340</v>
      </c>
      <c r="G428" s="137">
        <f>'Office Minor'!G738</f>
        <v>338532</v>
      </c>
      <c r="H428" s="137">
        <f>'Office Minor'!H738</f>
        <v>10</v>
      </c>
      <c r="K428" s="432">
        <f t="shared" si="27"/>
        <v>30</v>
      </c>
    </row>
    <row r="429" spans="1:11" s="432" customFormat="1" ht="17.100000000000001" customHeight="1" x14ac:dyDescent="0.25">
      <c r="A429" s="210">
        <v>17</v>
      </c>
      <c r="B429" s="433" t="s">
        <v>119</v>
      </c>
      <c r="C429" s="166">
        <f>'Office Minor'!C468</f>
        <v>0</v>
      </c>
      <c r="D429" s="166">
        <f>'Office Minor'!D468</f>
        <v>0</v>
      </c>
      <c r="E429" s="166">
        <f>'Office Minor'!E468</f>
        <v>11394096</v>
      </c>
      <c r="F429" s="166">
        <f>'Office Minor'!F468</f>
        <v>284852400</v>
      </c>
      <c r="G429" s="166">
        <f>'Office Minor'!G468</f>
        <v>60655652</v>
      </c>
      <c r="H429" s="166">
        <f>'Office Minor'!H468</f>
        <v>250</v>
      </c>
      <c r="K429" s="432">
        <f t="shared" si="27"/>
        <v>25</v>
      </c>
    </row>
    <row r="430" spans="1:11" s="432" customFormat="1" ht="17.100000000000001" customHeight="1" x14ac:dyDescent="0.25">
      <c r="A430" s="166">
        <v>18</v>
      </c>
      <c r="B430" s="435" t="s">
        <v>111</v>
      </c>
      <c r="C430" s="329">
        <f>'Office Minor'!C571</f>
        <v>0</v>
      </c>
      <c r="D430" s="329">
        <f>'Office Minor'!D571</f>
        <v>0</v>
      </c>
      <c r="E430" s="329">
        <f>'Office Minor'!E571</f>
        <v>0</v>
      </c>
      <c r="F430" s="329">
        <f>'Office Minor'!F571</f>
        <v>0</v>
      </c>
      <c r="G430" s="329">
        <f>'Office Minor'!G571</f>
        <v>0</v>
      </c>
      <c r="H430" s="329">
        <f>'Office Minor'!H571</f>
        <v>0</v>
      </c>
      <c r="K430" s="432" t="e">
        <f t="shared" si="27"/>
        <v>#DIV/0!</v>
      </c>
    </row>
    <row r="431" spans="1:11" s="432" customFormat="1" ht="17.100000000000001" customHeight="1" x14ac:dyDescent="0.25">
      <c r="A431" s="210">
        <v>19</v>
      </c>
      <c r="B431" s="435" t="s">
        <v>611</v>
      </c>
      <c r="C431" s="166">
        <f>'Office Minor'!C591+'Office Minor'!C17</f>
        <v>0</v>
      </c>
      <c r="D431" s="166">
        <f>'Office Minor'!D591+'Office Minor'!D17</f>
        <v>0</v>
      </c>
      <c r="E431" s="166">
        <f>'Office Minor'!E591+'Office Minor'!E17</f>
        <v>137285</v>
      </c>
      <c r="F431" s="166">
        <f>'Office Minor'!F591+'Office Minor'!F17</f>
        <v>3843980</v>
      </c>
      <c r="G431" s="166">
        <f>'Office Minor'!G591+'Office Minor'!G17</f>
        <v>1564989</v>
      </c>
      <c r="H431" s="166">
        <f>'Office Minor'!H591+'Office Minor'!H17</f>
        <v>15</v>
      </c>
      <c r="K431" s="432">
        <f t="shared" si="27"/>
        <v>28</v>
      </c>
    </row>
    <row r="432" spans="1:11" s="432" customFormat="1" ht="17.100000000000001" customHeight="1" x14ac:dyDescent="0.25">
      <c r="A432" s="166">
        <v>20</v>
      </c>
      <c r="B432" s="435" t="s">
        <v>120</v>
      </c>
      <c r="C432" s="166">
        <f>'Office Minor'!C621</f>
        <v>0</v>
      </c>
      <c r="D432" s="166">
        <f>'Office Minor'!D621</f>
        <v>0</v>
      </c>
      <c r="E432" s="166">
        <f>'Office Minor'!E621</f>
        <v>419336</v>
      </c>
      <c r="F432" s="166">
        <f>'Office Minor'!F621</f>
        <v>10483400</v>
      </c>
      <c r="G432" s="166">
        <f>'Office Minor'!G621</f>
        <v>2516016</v>
      </c>
      <c r="H432" s="166">
        <f>'Office Minor'!H621</f>
        <v>25</v>
      </c>
      <c r="K432" s="432">
        <f t="shared" si="27"/>
        <v>25</v>
      </c>
    </row>
    <row r="433" spans="1:11" s="432" customFormat="1" ht="17.100000000000001" customHeight="1" x14ac:dyDescent="0.25">
      <c r="A433" s="210">
        <v>21</v>
      </c>
      <c r="B433" s="214" t="s">
        <v>83</v>
      </c>
      <c r="C433" s="166">
        <f>'Office Minor'!C810</f>
        <v>0</v>
      </c>
      <c r="D433" s="166">
        <f>'Office Minor'!D810</f>
        <v>0</v>
      </c>
      <c r="E433" s="166">
        <f>'Office Minor'!E810</f>
        <v>0</v>
      </c>
      <c r="F433" s="166">
        <f>'Office Minor'!F810</f>
        <v>0</v>
      </c>
      <c r="G433" s="166">
        <f>'Office Minor'!G810</f>
        <v>0</v>
      </c>
      <c r="H433" s="166">
        <f>'Office Minor'!H810</f>
        <v>0</v>
      </c>
      <c r="K433" s="432" t="e">
        <f t="shared" si="27"/>
        <v>#DIV/0!</v>
      </c>
    </row>
    <row r="434" spans="1:11" s="432" customFormat="1" ht="17.100000000000001" customHeight="1" x14ac:dyDescent="0.25">
      <c r="A434" s="166">
        <v>22</v>
      </c>
      <c r="B434" s="214" t="s">
        <v>125</v>
      </c>
      <c r="C434" s="166">
        <f>'Office Minor'!C682</f>
        <v>0</v>
      </c>
      <c r="D434" s="166">
        <f>'Office Minor'!D682</f>
        <v>0</v>
      </c>
      <c r="E434" s="166">
        <f>'Office Minor'!E682</f>
        <v>625000</v>
      </c>
      <c r="F434" s="166">
        <f>'Office Minor'!F682</f>
        <v>37500000</v>
      </c>
      <c r="G434" s="166">
        <f>'Office Minor'!G682</f>
        <v>3921860</v>
      </c>
      <c r="H434" s="166">
        <f>'Office Minor'!H682</f>
        <v>25</v>
      </c>
      <c r="K434" s="432">
        <f t="shared" si="27"/>
        <v>60</v>
      </c>
    </row>
    <row r="435" spans="1:11" s="432" customFormat="1" ht="17.100000000000001" customHeight="1" x14ac:dyDescent="0.25">
      <c r="A435" s="1136" t="s">
        <v>50</v>
      </c>
      <c r="B435" s="1137"/>
      <c r="C435" s="258">
        <f>SUM(C413:C434)</f>
        <v>8</v>
      </c>
      <c r="D435" s="258">
        <f t="shared" ref="D435:H435" si="30">SUM(D413:D434)</f>
        <v>7</v>
      </c>
      <c r="E435" s="258">
        <f t="shared" si="30"/>
        <v>23778011.686000001</v>
      </c>
      <c r="F435" s="258">
        <f t="shared" si="30"/>
        <v>649341576.46200001</v>
      </c>
      <c r="G435" s="258">
        <f t="shared" si="30"/>
        <v>142932627</v>
      </c>
      <c r="H435" s="258">
        <f t="shared" si="30"/>
        <v>4203</v>
      </c>
      <c r="K435" s="432">
        <f t="shared" si="27"/>
        <v>27.308489247833908</v>
      </c>
    </row>
    <row r="436" spans="1:11" s="432" customFormat="1" ht="17.100000000000001" customHeight="1" x14ac:dyDescent="0.25">
      <c r="A436" s="21"/>
      <c r="B436" s="21"/>
      <c r="C436" s="21"/>
      <c r="D436" s="21"/>
      <c r="E436" s="21"/>
      <c r="F436" s="21"/>
      <c r="G436" s="21"/>
      <c r="H436" s="21"/>
      <c r="K436" s="432" t="e">
        <f t="shared" si="27"/>
        <v>#DIV/0!</v>
      </c>
    </row>
    <row r="437" spans="1:11" s="432" customFormat="1" ht="17.100000000000001" customHeight="1" x14ac:dyDescent="0.25">
      <c r="A437" s="1149" t="s">
        <v>147</v>
      </c>
      <c r="B437" s="1149"/>
      <c r="C437" s="1149"/>
      <c r="D437" s="1149"/>
      <c r="E437" s="1149"/>
      <c r="F437" s="1149"/>
      <c r="G437" s="1149"/>
      <c r="H437" s="1149"/>
      <c r="K437" s="432" t="e">
        <f t="shared" si="27"/>
        <v>#DIV/0!</v>
      </c>
    </row>
    <row r="438" spans="1:11" s="432" customFormat="1" ht="17.100000000000001" customHeight="1" x14ac:dyDescent="0.25">
      <c r="A438" s="1122" t="s">
        <v>2</v>
      </c>
      <c r="B438" s="1124" t="s">
        <v>77</v>
      </c>
      <c r="C438" s="249" t="s">
        <v>4</v>
      </c>
      <c r="D438" s="249" t="s">
        <v>5</v>
      </c>
      <c r="E438" s="249" t="s">
        <v>6</v>
      </c>
      <c r="F438" s="249" t="s">
        <v>7</v>
      </c>
      <c r="G438" s="249" t="s">
        <v>8</v>
      </c>
      <c r="H438" s="249" t="s">
        <v>9</v>
      </c>
      <c r="K438" s="432" t="e">
        <f t="shared" si="27"/>
        <v>#VALUE!</v>
      </c>
    </row>
    <row r="439" spans="1:11" s="432" customFormat="1" ht="17.100000000000001" customHeight="1" x14ac:dyDescent="0.25">
      <c r="A439" s="1123"/>
      <c r="B439" s="1125"/>
      <c r="C439" s="2" t="s">
        <v>10</v>
      </c>
      <c r="D439" s="2" t="s">
        <v>52</v>
      </c>
      <c r="E439" s="2" t="s">
        <v>79</v>
      </c>
      <c r="F439" s="52" t="s">
        <v>80</v>
      </c>
      <c r="G439" s="52" t="s">
        <v>80</v>
      </c>
      <c r="H439" s="2" t="s">
        <v>13</v>
      </c>
      <c r="K439" s="432" t="e">
        <f t="shared" si="27"/>
        <v>#VALUE!</v>
      </c>
    </row>
    <row r="440" spans="1:11" s="432" customFormat="1" ht="17.100000000000001" customHeight="1" x14ac:dyDescent="0.25">
      <c r="A440" s="272">
        <v>1</v>
      </c>
      <c r="B440" s="212" t="s">
        <v>140</v>
      </c>
      <c r="C440" s="137">
        <f>'Office Minor'!C95</f>
        <v>2</v>
      </c>
      <c r="D440" s="137">
        <f>'Office Minor'!D95</f>
        <v>2</v>
      </c>
      <c r="E440" s="137">
        <f>'Office Minor'!E95</f>
        <v>0</v>
      </c>
      <c r="F440" s="137">
        <f>'Office Minor'!F95</f>
        <v>0</v>
      </c>
      <c r="G440" s="137">
        <f>'Office Minor'!G95</f>
        <v>0</v>
      </c>
      <c r="H440" s="137">
        <f>'Office Minor'!H95</f>
        <v>0</v>
      </c>
      <c r="K440" s="432" t="e">
        <f t="shared" si="27"/>
        <v>#DIV/0!</v>
      </c>
    </row>
    <row r="441" spans="1:11" s="432" customFormat="1" ht="17.100000000000001" customHeight="1" x14ac:dyDescent="0.25">
      <c r="A441" s="272">
        <v>2</v>
      </c>
      <c r="B441" s="212" t="s">
        <v>477</v>
      </c>
      <c r="C441" s="137">
        <f>'Office Minor'!C113+'Office Minor'!C115</f>
        <v>4</v>
      </c>
      <c r="D441" s="137">
        <f>'Office Minor'!D113+'Office Minor'!D115</f>
        <v>7</v>
      </c>
      <c r="E441" s="137">
        <f>'Office Minor'!E113+'Office Minor'!E115</f>
        <v>237037</v>
      </c>
      <c r="F441" s="137">
        <f>'Office Minor'!F113+'Office Minor'!F115</f>
        <v>47407492</v>
      </c>
      <c r="G441" s="137">
        <f>'Office Minor'!G113+'Office Minor'!G115</f>
        <v>7655408</v>
      </c>
      <c r="H441" s="137">
        <f>'Office Minor'!H113+'Office Minor'!H115</f>
        <v>10</v>
      </c>
      <c r="K441" s="432">
        <f t="shared" si="27"/>
        <v>200.00038812506065</v>
      </c>
    </row>
    <row r="442" spans="1:11" s="432" customFormat="1" ht="17.100000000000001" customHeight="1" x14ac:dyDescent="0.25">
      <c r="A442" s="272">
        <v>3</v>
      </c>
      <c r="B442" s="433" t="s">
        <v>104</v>
      </c>
      <c r="C442" s="206">
        <f>'Office Minor'!C254+'Office Minor'!C255</f>
        <v>0</v>
      </c>
      <c r="D442" s="206">
        <f>'Office Minor'!D254+'Office Minor'!D255</f>
        <v>0</v>
      </c>
      <c r="E442" s="206">
        <f>'Office Minor'!E254+'Office Minor'!E255</f>
        <v>0</v>
      </c>
      <c r="F442" s="206">
        <f>'Office Minor'!F254+'Office Minor'!F255</f>
        <v>0</v>
      </c>
      <c r="G442" s="206">
        <f>'Office Minor'!G254+'Office Minor'!G255</f>
        <v>0</v>
      </c>
      <c r="H442" s="206">
        <f>'Office Minor'!H254+'Office Minor'!H255</f>
        <v>0</v>
      </c>
      <c r="K442" s="432" t="e">
        <f t="shared" si="27"/>
        <v>#DIV/0!</v>
      </c>
    </row>
    <row r="443" spans="1:11" s="432" customFormat="1" ht="17.100000000000001" customHeight="1" x14ac:dyDescent="0.25">
      <c r="A443" s="272">
        <v>4</v>
      </c>
      <c r="B443" s="454" t="s">
        <v>145</v>
      </c>
      <c r="C443" s="276">
        <f>'Office Minor'!C64</f>
        <v>3</v>
      </c>
      <c r="D443" s="276">
        <f>'Office Minor'!D64</f>
        <v>3</v>
      </c>
      <c r="E443" s="276">
        <f>'Office Minor'!E64</f>
        <v>14069.68</v>
      </c>
      <c r="F443" s="276">
        <f>'Office Minor'!F64</f>
        <v>4783691.2</v>
      </c>
      <c r="G443" s="276">
        <f>'Office Minor'!G64</f>
        <v>450230</v>
      </c>
      <c r="H443" s="276">
        <f>'Office Minor'!H64</f>
        <v>20</v>
      </c>
      <c r="K443" s="432">
        <f t="shared" si="27"/>
        <v>340</v>
      </c>
    </row>
    <row r="444" spans="1:11" s="432" customFormat="1" ht="17.100000000000001" customHeight="1" x14ac:dyDescent="0.25">
      <c r="A444" s="272">
        <v>5</v>
      </c>
      <c r="B444" s="433" t="s">
        <v>154</v>
      </c>
      <c r="C444" s="63">
        <f>'Office Minor'!C352</f>
        <v>17</v>
      </c>
      <c r="D444" s="63">
        <f>'Office Minor'!D352</f>
        <v>21</v>
      </c>
      <c r="E444" s="63">
        <f>'Office Minor'!E352</f>
        <v>263521.11</v>
      </c>
      <c r="F444" s="63">
        <f>'Office Minor'!F352</f>
        <v>55339410</v>
      </c>
      <c r="G444" s="63">
        <f>'Office Minor'!G352</f>
        <v>8432672</v>
      </c>
      <c r="H444" s="63">
        <f>'Office Minor'!H352</f>
        <v>250</v>
      </c>
      <c r="K444" s="432">
        <f t="shared" si="27"/>
        <v>209.99991234098854</v>
      </c>
    </row>
    <row r="445" spans="1:11" s="432" customFormat="1" ht="17.100000000000001" customHeight="1" x14ac:dyDescent="0.25">
      <c r="A445" s="272">
        <v>6</v>
      </c>
      <c r="B445" s="433" t="s">
        <v>128</v>
      </c>
      <c r="C445" s="255">
        <f>'Office Minor'!C402</f>
        <v>0</v>
      </c>
      <c r="D445" s="255">
        <f>'Office Minor'!D402</f>
        <v>0</v>
      </c>
      <c r="E445" s="255">
        <f>'Office Minor'!E402</f>
        <v>40354</v>
      </c>
      <c r="F445" s="255">
        <f>'Office Minor'!F402</f>
        <v>7869030</v>
      </c>
      <c r="G445" s="255">
        <f>'Office Minor'!G402</f>
        <v>1291000</v>
      </c>
      <c r="H445" s="255">
        <f>'Office Minor'!H402</f>
        <v>10</v>
      </c>
      <c r="K445" s="432">
        <f t="shared" si="27"/>
        <v>195</v>
      </c>
    </row>
    <row r="446" spans="1:11" s="432" customFormat="1" ht="17.100000000000001" customHeight="1" x14ac:dyDescent="0.25">
      <c r="A446" s="272">
        <v>7</v>
      </c>
      <c r="B446" s="433" t="s">
        <v>95</v>
      </c>
      <c r="C446" s="255">
        <f>'Office Minor'!C757</f>
        <v>0</v>
      </c>
      <c r="D446" s="255">
        <f>'Office Minor'!D757</f>
        <v>0</v>
      </c>
      <c r="E446" s="255">
        <f>'Office Minor'!E757</f>
        <v>0</v>
      </c>
      <c r="F446" s="255">
        <f>'Office Minor'!F757</f>
        <v>0</v>
      </c>
      <c r="G446" s="255">
        <f>'Office Minor'!G757</f>
        <v>0</v>
      </c>
      <c r="H446" s="255">
        <f>'Office Minor'!H757</f>
        <v>0</v>
      </c>
      <c r="K446" s="432" t="e">
        <f t="shared" si="27"/>
        <v>#DIV/0!</v>
      </c>
    </row>
    <row r="447" spans="1:11" s="432" customFormat="1" ht="17.100000000000001" customHeight="1" x14ac:dyDescent="0.25">
      <c r="A447" s="272">
        <v>8</v>
      </c>
      <c r="B447" s="433" t="s">
        <v>616</v>
      </c>
      <c r="C447" s="255">
        <f>'Office Minor'!C590</f>
        <v>0</v>
      </c>
      <c r="D447" s="255">
        <f>'Office Minor'!D590</f>
        <v>0</v>
      </c>
      <c r="E447" s="255">
        <f>'Office Minor'!E590</f>
        <v>0</v>
      </c>
      <c r="F447" s="255">
        <f>'Office Minor'!F590</f>
        <v>0</v>
      </c>
      <c r="G447" s="255">
        <f>'Office Minor'!G590</f>
        <v>0</v>
      </c>
      <c r="H447" s="255">
        <f>'Office Minor'!H590</f>
        <v>0</v>
      </c>
      <c r="K447" s="432" t="e">
        <f t="shared" si="27"/>
        <v>#DIV/0!</v>
      </c>
    </row>
    <row r="448" spans="1:11" s="432" customFormat="1" ht="17.100000000000001" customHeight="1" x14ac:dyDescent="0.25">
      <c r="A448" s="272">
        <v>9</v>
      </c>
      <c r="B448" s="433" t="s">
        <v>403</v>
      </c>
      <c r="C448" s="255">
        <f>'Office Minor'!C576</f>
        <v>0</v>
      </c>
      <c r="D448" s="255">
        <f>'Office Minor'!D576</f>
        <v>0</v>
      </c>
      <c r="E448" s="255">
        <f>'Office Minor'!E576</f>
        <v>0</v>
      </c>
      <c r="F448" s="255">
        <f>'Office Minor'!F576</f>
        <v>0</v>
      </c>
      <c r="G448" s="255">
        <f>'Office Minor'!G576</f>
        <v>0</v>
      </c>
      <c r="H448" s="255">
        <f>'Office Minor'!H576</f>
        <v>0</v>
      </c>
      <c r="K448" s="432" t="e">
        <f t="shared" si="27"/>
        <v>#DIV/0!</v>
      </c>
    </row>
    <row r="449" spans="1:11" s="432" customFormat="1" ht="17.100000000000001" customHeight="1" x14ac:dyDescent="0.25">
      <c r="A449" s="272">
        <v>10</v>
      </c>
      <c r="B449" s="433" t="s">
        <v>127</v>
      </c>
      <c r="C449" s="236">
        <f>'Office Minor'!C632</f>
        <v>0</v>
      </c>
      <c r="D449" s="236">
        <f>'Office Minor'!D632</f>
        <v>0</v>
      </c>
      <c r="E449" s="236">
        <f>'Office Minor'!E632</f>
        <v>0</v>
      </c>
      <c r="F449" s="236">
        <f>'Office Minor'!F632</f>
        <v>0</v>
      </c>
      <c r="G449" s="236">
        <f>'Office Minor'!G632</f>
        <v>0</v>
      </c>
      <c r="H449" s="236">
        <f>'Office Minor'!H632</f>
        <v>0</v>
      </c>
      <c r="K449" s="432" t="e">
        <f t="shared" si="27"/>
        <v>#DIV/0!</v>
      </c>
    </row>
    <row r="450" spans="1:11" s="432" customFormat="1" ht="17.100000000000001" customHeight="1" x14ac:dyDescent="0.25">
      <c r="A450" s="272">
        <v>11</v>
      </c>
      <c r="B450" s="433" t="s">
        <v>91</v>
      </c>
      <c r="C450" s="236">
        <f>'Office Minor'!C739</f>
        <v>0</v>
      </c>
      <c r="D450" s="236">
        <f>'Office Minor'!D739</f>
        <v>0</v>
      </c>
      <c r="E450" s="236">
        <f>'Office Minor'!E739</f>
        <v>16314</v>
      </c>
      <c r="F450" s="236">
        <f>'Office Minor'!F739</f>
        <v>2936678</v>
      </c>
      <c r="G450" s="236">
        <f>'Office Minor'!G739</f>
        <v>407872</v>
      </c>
      <c r="H450" s="236">
        <f>'Office Minor'!H739</f>
        <v>10</v>
      </c>
      <c r="K450" s="432">
        <f t="shared" si="27"/>
        <v>180.00968493318621</v>
      </c>
    </row>
    <row r="451" spans="1:11" s="432" customFormat="1" ht="17.100000000000001" customHeight="1" x14ac:dyDescent="0.25">
      <c r="A451" s="958">
        <v>12</v>
      </c>
      <c r="B451" s="959" t="s">
        <v>249</v>
      </c>
      <c r="C451" s="352">
        <f>'Office Minor'!C281</f>
        <v>0</v>
      </c>
      <c r="D451" s="352">
        <f>'Office Minor'!D281</f>
        <v>0</v>
      </c>
      <c r="E451" s="352">
        <f>'Office Minor'!E281</f>
        <v>0</v>
      </c>
      <c r="F451" s="352">
        <f>'Office Minor'!F281</f>
        <v>0</v>
      </c>
      <c r="G451" s="352">
        <f>'Office Minor'!G281</f>
        <v>0</v>
      </c>
      <c r="H451" s="352">
        <f>'Office Minor'!H281</f>
        <v>0</v>
      </c>
      <c r="K451" s="432" t="e">
        <f t="shared" si="27"/>
        <v>#DIV/0!</v>
      </c>
    </row>
    <row r="452" spans="1:11" s="432" customFormat="1" ht="17.100000000000001" customHeight="1" x14ac:dyDescent="0.25">
      <c r="A452" s="1136" t="s">
        <v>50</v>
      </c>
      <c r="B452" s="1137"/>
      <c r="C452" s="258">
        <f>SUM(C440:C451)</f>
        <v>26</v>
      </c>
      <c r="D452" s="258">
        <f t="shared" ref="D452:H452" si="31">SUM(D440:D451)</f>
        <v>33</v>
      </c>
      <c r="E452" s="258">
        <f t="shared" si="31"/>
        <v>571295.79</v>
      </c>
      <c r="F452" s="258">
        <f t="shared" si="31"/>
        <v>118336301.2</v>
      </c>
      <c r="G452" s="258">
        <f t="shared" si="31"/>
        <v>18237182</v>
      </c>
      <c r="H452" s="258">
        <f t="shared" si="31"/>
        <v>300</v>
      </c>
      <c r="K452" s="432">
        <f t="shared" si="27"/>
        <v>207.13665892759334</v>
      </c>
    </row>
    <row r="453" spans="1:11" s="432" customFormat="1" ht="17.100000000000001" customHeight="1" x14ac:dyDescent="0.25">
      <c r="A453" s="21"/>
      <c r="B453" s="21"/>
      <c r="C453" s="21"/>
      <c r="D453" s="21"/>
      <c r="E453" s="21"/>
      <c r="F453" s="21"/>
      <c r="G453" s="21"/>
      <c r="H453" s="21"/>
      <c r="K453" s="432" t="e">
        <f t="shared" si="27"/>
        <v>#DIV/0!</v>
      </c>
    </row>
    <row r="454" spans="1:11" s="432" customFormat="1" ht="17.100000000000001" customHeight="1" x14ac:dyDescent="0.25">
      <c r="A454" s="1138" t="s">
        <v>121</v>
      </c>
      <c r="B454" s="1138"/>
      <c r="C454" s="1138"/>
      <c r="D454" s="1138"/>
      <c r="E454" s="1138"/>
      <c r="F454" s="1138"/>
      <c r="G454" s="1138"/>
      <c r="H454" s="1138"/>
      <c r="K454" s="432" t="e">
        <f t="shared" si="27"/>
        <v>#DIV/0!</v>
      </c>
    </row>
    <row r="455" spans="1:11" s="432" customFormat="1" ht="17.100000000000001" customHeight="1" x14ac:dyDescent="0.25">
      <c r="A455" s="1122" t="s">
        <v>2</v>
      </c>
      <c r="B455" s="1124" t="s">
        <v>77</v>
      </c>
      <c r="C455" s="249" t="s">
        <v>4</v>
      </c>
      <c r="D455" s="249" t="s">
        <v>5</v>
      </c>
      <c r="E455" s="249" t="s">
        <v>6</v>
      </c>
      <c r="F455" s="249" t="s">
        <v>7</v>
      </c>
      <c r="G455" s="249" t="s">
        <v>8</v>
      </c>
      <c r="H455" s="249" t="s">
        <v>9</v>
      </c>
      <c r="K455" s="432" t="e">
        <f t="shared" si="27"/>
        <v>#VALUE!</v>
      </c>
    </row>
    <row r="456" spans="1:11" s="432" customFormat="1" ht="17.100000000000001" customHeight="1" x14ac:dyDescent="0.25">
      <c r="A456" s="1123"/>
      <c r="B456" s="1125"/>
      <c r="C456" s="2" t="s">
        <v>10</v>
      </c>
      <c r="D456" s="2" t="s">
        <v>78</v>
      </c>
      <c r="E456" s="2" t="s">
        <v>79</v>
      </c>
      <c r="F456" s="52" t="s">
        <v>80</v>
      </c>
      <c r="G456" s="52" t="s">
        <v>80</v>
      </c>
      <c r="H456" s="2" t="s">
        <v>13</v>
      </c>
      <c r="K456" s="432" t="e">
        <f t="shared" ref="K456:K519" si="32">F456/E456</f>
        <v>#VALUE!</v>
      </c>
    </row>
    <row r="457" spans="1:11" s="432" customFormat="1" ht="17.100000000000001" customHeight="1" x14ac:dyDescent="0.25">
      <c r="A457" s="166">
        <v>1</v>
      </c>
      <c r="B457" s="214" t="s">
        <v>154</v>
      </c>
      <c r="C457" s="166">
        <f>'Office Minor'!C345</f>
        <v>3</v>
      </c>
      <c r="D457" s="166">
        <f>'Office Minor'!D345</f>
        <v>14.7544</v>
      </c>
      <c r="E457" s="166">
        <f>'Office Minor'!E345</f>
        <v>126.03</v>
      </c>
      <c r="F457" s="166">
        <f>'Office Minor'!F345</f>
        <v>32767.8</v>
      </c>
      <c r="G457" s="166">
        <f>'Office Minor'!G345</f>
        <v>56000</v>
      </c>
      <c r="H457" s="166">
        <f>'Office Minor'!H345</f>
        <v>2</v>
      </c>
      <c r="K457" s="432">
        <f t="shared" si="32"/>
        <v>260</v>
      </c>
    </row>
    <row r="458" spans="1:11" s="432" customFormat="1" ht="17.100000000000001" customHeight="1" x14ac:dyDescent="0.25">
      <c r="A458" s="166">
        <v>2</v>
      </c>
      <c r="B458" s="214" t="s">
        <v>102</v>
      </c>
      <c r="C458" s="144">
        <f>'Office Minor'!C147</f>
        <v>3</v>
      </c>
      <c r="D458" s="144">
        <f>'Office Minor'!D147</f>
        <v>10</v>
      </c>
      <c r="E458" s="144">
        <f>'Office Minor'!E147</f>
        <v>4552</v>
      </c>
      <c r="F458" s="144">
        <f>'Office Minor'!F147</f>
        <v>1365600</v>
      </c>
      <c r="G458" s="144">
        <f>'Office Minor'!G147</f>
        <v>69900</v>
      </c>
      <c r="H458" s="144">
        <f>'Office Minor'!H147</f>
        <v>10</v>
      </c>
      <c r="K458" s="432">
        <f t="shared" si="32"/>
        <v>300</v>
      </c>
    </row>
    <row r="459" spans="1:11" s="432" customFormat="1" ht="17.100000000000001" customHeight="1" x14ac:dyDescent="0.25">
      <c r="A459" s="166">
        <v>3</v>
      </c>
      <c r="B459" s="214" t="s">
        <v>103</v>
      </c>
      <c r="C459" s="137">
        <f>'Office Minor'!C221</f>
        <v>0</v>
      </c>
      <c r="D459" s="137">
        <f>'Office Minor'!D221</f>
        <v>0</v>
      </c>
      <c r="E459" s="137">
        <f>'Office Minor'!E221</f>
        <v>15030.49</v>
      </c>
      <c r="F459" s="137">
        <f>'Office Minor'!F221</f>
        <v>3907927.4</v>
      </c>
      <c r="G459" s="137">
        <f>'Office Minor'!G221</f>
        <v>2936226</v>
      </c>
      <c r="H459" s="137">
        <f>'Office Minor'!H221</f>
        <v>50</v>
      </c>
      <c r="K459" s="432">
        <f t="shared" si="32"/>
        <v>260</v>
      </c>
    </row>
    <row r="460" spans="1:11" s="432" customFormat="1" ht="17.100000000000001" customHeight="1" x14ac:dyDescent="0.25">
      <c r="A460" s="166">
        <v>4</v>
      </c>
      <c r="B460" s="214" t="s">
        <v>191</v>
      </c>
      <c r="C460" s="137">
        <f>'Office Minor'!C131</f>
        <v>1</v>
      </c>
      <c r="D460" s="137">
        <f>'Office Minor'!D131</f>
        <v>4.8</v>
      </c>
      <c r="E460" s="137">
        <f>'Office Minor'!E131</f>
        <v>8173</v>
      </c>
      <c r="F460" s="137">
        <f>'Office Minor'!F131</f>
        <v>2043250</v>
      </c>
      <c r="G460" s="137">
        <f>'Office Minor'!G131</f>
        <v>367827</v>
      </c>
      <c r="H460" s="137">
        <f>'Office Minor'!H131</f>
        <v>4</v>
      </c>
      <c r="K460" s="432">
        <f t="shared" si="32"/>
        <v>250</v>
      </c>
    </row>
    <row r="461" spans="1:11" s="432" customFormat="1" ht="17.100000000000001" customHeight="1" x14ac:dyDescent="0.25">
      <c r="A461" s="166">
        <v>5</v>
      </c>
      <c r="B461" s="214" t="s">
        <v>83</v>
      </c>
      <c r="C461" s="166">
        <f>'Office Minor'!C804</f>
        <v>1</v>
      </c>
      <c r="D461" s="166">
        <f>'Office Minor'!D804</f>
        <v>44</v>
      </c>
      <c r="E461" s="166">
        <f>'Office Minor'!E804</f>
        <v>86966</v>
      </c>
      <c r="F461" s="166">
        <f>'Office Minor'!F804</f>
        <v>21741452.593407299</v>
      </c>
      <c r="G461" s="166">
        <f>'Office Minor'!G804</f>
        <v>1135765</v>
      </c>
      <c r="H461" s="166">
        <f>'Office Minor'!H804</f>
        <v>28</v>
      </c>
      <c r="K461" s="432">
        <f t="shared" si="32"/>
        <v>249.99945488360163</v>
      </c>
    </row>
    <row r="462" spans="1:11" s="432" customFormat="1" ht="17.100000000000001" customHeight="1" x14ac:dyDescent="0.25">
      <c r="A462" s="166">
        <v>6</v>
      </c>
      <c r="B462" s="19" t="s">
        <v>389</v>
      </c>
      <c r="C462" s="198">
        <f>'Office Minor'!C646</f>
        <v>4</v>
      </c>
      <c r="D462" s="198">
        <f>'Office Minor'!D646</f>
        <v>19.170000000000002</v>
      </c>
      <c r="E462" s="198">
        <f>'Office Minor'!E646</f>
        <v>0</v>
      </c>
      <c r="F462" s="198">
        <f>'Office Minor'!F646</f>
        <v>0</v>
      </c>
      <c r="G462" s="198">
        <f>'Office Minor'!G646</f>
        <v>0</v>
      </c>
      <c r="H462" s="198">
        <f>'Office Minor'!H646</f>
        <v>0</v>
      </c>
      <c r="K462" s="432" t="e">
        <f t="shared" si="32"/>
        <v>#DIV/0!</v>
      </c>
    </row>
    <row r="463" spans="1:11" s="432" customFormat="1" ht="17.100000000000001" customHeight="1" x14ac:dyDescent="0.25">
      <c r="A463" s="166">
        <v>7</v>
      </c>
      <c r="B463" s="214" t="s">
        <v>81</v>
      </c>
      <c r="C463" s="166">
        <f>'Office Minor'!C181</f>
        <v>1</v>
      </c>
      <c r="D463" s="166">
        <f>'Office Minor'!D181</f>
        <v>4.55</v>
      </c>
      <c r="E463" s="166">
        <f>'Office Minor'!E181</f>
        <v>647278</v>
      </c>
      <c r="F463" s="166">
        <f>'Office Minor'!F181</f>
        <v>168292280</v>
      </c>
      <c r="G463" s="166">
        <f>'Office Minor'!G181</f>
        <v>32969429</v>
      </c>
      <c r="H463" s="166">
        <f>'Office Minor'!H181</f>
        <v>60</v>
      </c>
      <c r="K463" s="432">
        <f t="shared" si="32"/>
        <v>260</v>
      </c>
    </row>
    <row r="464" spans="1:11" s="432" customFormat="1" ht="17.100000000000001" customHeight="1" x14ac:dyDescent="0.25">
      <c r="A464" s="166">
        <v>8</v>
      </c>
      <c r="B464" s="214" t="s">
        <v>104</v>
      </c>
      <c r="C464" s="137">
        <f>'Office Minor'!C259</f>
        <v>20</v>
      </c>
      <c r="D464" s="137">
        <f>'Office Minor'!D259</f>
        <v>300</v>
      </c>
      <c r="E464" s="137">
        <f>'Office Minor'!E259</f>
        <v>782588</v>
      </c>
      <c r="F464" s="137">
        <f>'Office Minor'!F259</f>
        <v>203472880</v>
      </c>
      <c r="G464" s="137">
        <f>'Office Minor'!G259</f>
        <v>40694576</v>
      </c>
      <c r="H464" s="137">
        <f>'Office Minor'!H259</f>
        <v>0</v>
      </c>
      <c r="K464" s="432">
        <f t="shared" si="32"/>
        <v>260</v>
      </c>
    </row>
    <row r="465" spans="1:11" s="432" customFormat="1" ht="17.100000000000001" customHeight="1" x14ac:dyDescent="0.25">
      <c r="A465" s="166">
        <v>9</v>
      </c>
      <c r="B465" s="214" t="s">
        <v>108</v>
      </c>
      <c r="C465" s="143">
        <f>'Office Minor'!C555</f>
        <v>36</v>
      </c>
      <c r="D465" s="143">
        <f>'Office Minor'!D555</f>
        <v>224.07</v>
      </c>
      <c r="E465" s="143">
        <f>'Office Minor'!E555</f>
        <v>417231</v>
      </c>
      <c r="F465" s="143">
        <f>'Office Minor'!F555</f>
        <v>108480060</v>
      </c>
      <c r="G465" s="143">
        <f>'Office Minor'!G555</f>
        <v>9692580</v>
      </c>
      <c r="H465" s="143">
        <f>'Office Minor'!H555</f>
        <v>2500</v>
      </c>
      <c r="K465" s="432">
        <f t="shared" si="32"/>
        <v>260</v>
      </c>
    </row>
    <row r="466" spans="1:11" s="432" customFormat="1" ht="17.100000000000001" customHeight="1" x14ac:dyDescent="0.25">
      <c r="A466" s="166">
        <v>10</v>
      </c>
      <c r="B466" s="214" t="s">
        <v>111</v>
      </c>
      <c r="C466" s="166">
        <f>'Office Minor'!C573</f>
        <v>46</v>
      </c>
      <c r="D466" s="166">
        <f>'Office Minor'!D573</f>
        <v>530.66</v>
      </c>
      <c r="E466" s="166">
        <f>'Office Minor'!E573</f>
        <v>1546238</v>
      </c>
      <c r="F466" s="166">
        <f>'Office Minor'!F573</f>
        <v>397383166</v>
      </c>
      <c r="G466" s="166">
        <f>'Office Minor'!G573</f>
        <v>32470998</v>
      </c>
      <c r="H466" s="166">
        <f>'Office Minor'!H573</f>
        <v>300</v>
      </c>
      <c r="K466" s="432">
        <f t="shared" si="32"/>
        <v>257</v>
      </c>
    </row>
    <row r="467" spans="1:11" s="432" customFormat="1" ht="17.100000000000001" customHeight="1" x14ac:dyDescent="0.25">
      <c r="A467" s="166">
        <v>11</v>
      </c>
      <c r="B467" s="214" t="s">
        <v>118</v>
      </c>
      <c r="C467" s="166">
        <f>'Office Minor'!C437</f>
        <v>7</v>
      </c>
      <c r="D467" s="166">
        <f>'Office Minor'!D437</f>
        <v>7.89</v>
      </c>
      <c r="E467" s="166">
        <f>'Office Minor'!E437</f>
        <v>4667</v>
      </c>
      <c r="F467" s="166">
        <f>'Office Minor'!F437</f>
        <v>1166750</v>
      </c>
      <c r="G467" s="166">
        <f>'Office Minor'!G437</f>
        <v>140000</v>
      </c>
      <c r="H467" s="166">
        <f>'Office Minor'!H437</f>
        <v>15</v>
      </c>
      <c r="K467" s="432">
        <f t="shared" si="32"/>
        <v>250</v>
      </c>
    </row>
    <row r="468" spans="1:11" s="432" customFormat="1" ht="17.100000000000001" customHeight="1" x14ac:dyDescent="0.25">
      <c r="A468" s="166">
        <v>12</v>
      </c>
      <c r="B468" s="214" t="s">
        <v>88</v>
      </c>
      <c r="C468" s="166">
        <f>'Office Minor'!C490</f>
        <v>0</v>
      </c>
      <c r="D468" s="166">
        <f>'Office Minor'!D490</f>
        <v>0</v>
      </c>
      <c r="E468" s="166">
        <f>'Office Minor'!E490</f>
        <v>0</v>
      </c>
      <c r="F468" s="166">
        <f>'Office Minor'!F490</f>
        <v>0</v>
      </c>
      <c r="G468" s="166">
        <f>'Office Minor'!G490</f>
        <v>0</v>
      </c>
      <c r="H468" s="166">
        <f>'Office Minor'!H490</f>
        <v>0</v>
      </c>
      <c r="K468" s="432" t="e">
        <f t="shared" si="32"/>
        <v>#DIV/0!</v>
      </c>
    </row>
    <row r="469" spans="1:11" s="432" customFormat="1" ht="17.100000000000001" customHeight="1" x14ac:dyDescent="0.25">
      <c r="A469" s="166">
        <v>13</v>
      </c>
      <c r="B469" s="802" t="s">
        <v>100</v>
      </c>
      <c r="C469" s="602">
        <f>'Office Minor'!C720</f>
        <v>2</v>
      </c>
      <c r="D469" s="602">
        <f>'Office Minor'!D720</f>
        <v>8.1</v>
      </c>
      <c r="E469" s="602">
        <f>'Office Minor'!E720</f>
        <v>0</v>
      </c>
      <c r="F469" s="602">
        <f>'Office Minor'!F720</f>
        <v>0</v>
      </c>
      <c r="G469" s="602">
        <f>'Office Minor'!G720</f>
        <v>0</v>
      </c>
      <c r="H469" s="602">
        <f>'Office Minor'!H720</f>
        <v>0</v>
      </c>
      <c r="K469" s="432" t="e">
        <f t="shared" si="32"/>
        <v>#DIV/0!</v>
      </c>
    </row>
    <row r="470" spans="1:11" s="432" customFormat="1" ht="17.100000000000001" customHeight="1" x14ac:dyDescent="0.25">
      <c r="A470" s="1136" t="s">
        <v>50</v>
      </c>
      <c r="B470" s="1137"/>
      <c r="C470" s="259">
        <f>SUM(C457:C469)</f>
        <v>124</v>
      </c>
      <c r="D470" s="260">
        <f t="shared" ref="D470:H470" si="33">SUM(D457:D469)</f>
        <v>1167.9943999999998</v>
      </c>
      <c r="E470" s="261">
        <f t="shared" si="33"/>
        <v>3512849.52</v>
      </c>
      <c r="F470" s="261">
        <f t="shared" si="33"/>
        <v>907886133.79340732</v>
      </c>
      <c r="G470" s="261">
        <f>SUM(G457:G469)</f>
        <v>120533301</v>
      </c>
      <c r="H470" s="259">
        <f t="shared" si="33"/>
        <v>2969</v>
      </c>
      <c r="K470" s="432">
        <f t="shared" si="32"/>
        <v>258.44720322475052</v>
      </c>
    </row>
    <row r="471" spans="1:11" s="432" customFormat="1" ht="17.100000000000001" customHeight="1" x14ac:dyDescent="0.25">
      <c r="A471" s="21"/>
      <c r="B471" s="21"/>
      <c r="C471" s="21"/>
      <c r="D471" s="21"/>
      <c r="E471" s="21"/>
      <c r="F471" s="21"/>
      <c r="G471" s="21"/>
      <c r="H471" s="21"/>
      <c r="K471" s="432" t="e">
        <f t="shared" si="32"/>
        <v>#DIV/0!</v>
      </c>
    </row>
    <row r="472" spans="1:11" s="432" customFormat="1" ht="17.100000000000001" customHeight="1" x14ac:dyDescent="0.25">
      <c r="A472" s="1149" t="s">
        <v>67</v>
      </c>
      <c r="B472" s="1149"/>
      <c r="C472" s="1149"/>
      <c r="D472" s="1149"/>
      <c r="E472" s="1149"/>
      <c r="F472" s="1149"/>
      <c r="G472" s="1149"/>
      <c r="H472" s="1149"/>
      <c r="K472" s="432" t="e">
        <f t="shared" si="32"/>
        <v>#DIV/0!</v>
      </c>
    </row>
    <row r="473" spans="1:11" s="432" customFormat="1" ht="17.100000000000001" customHeight="1" x14ac:dyDescent="0.25">
      <c r="A473" s="1122" t="s">
        <v>2</v>
      </c>
      <c r="B473" s="1124" t="s">
        <v>77</v>
      </c>
      <c r="C473" s="249" t="s">
        <v>4</v>
      </c>
      <c r="D473" s="249" t="s">
        <v>5</v>
      </c>
      <c r="E473" s="249" t="s">
        <v>6</v>
      </c>
      <c r="F473" s="249" t="s">
        <v>7</v>
      </c>
      <c r="G473" s="249" t="s">
        <v>8</v>
      </c>
      <c r="H473" s="249" t="s">
        <v>9</v>
      </c>
      <c r="K473" s="432" t="e">
        <f t="shared" si="32"/>
        <v>#VALUE!</v>
      </c>
    </row>
    <row r="474" spans="1:11" s="432" customFormat="1" ht="17.100000000000001" customHeight="1" x14ac:dyDescent="0.25">
      <c r="A474" s="1123"/>
      <c r="B474" s="1125"/>
      <c r="C474" s="235" t="s">
        <v>10</v>
      </c>
      <c r="D474" s="235" t="s">
        <v>52</v>
      </c>
      <c r="E474" s="235" t="s">
        <v>79</v>
      </c>
      <c r="F474" s="56" t="s">
        <v>80</v>
      </c>
      <c r="G474" s="56" t="s">
        <v>80</v>
      </c>
      <c r="H474" s="235" t="s">
        <v>13</v>
      </c>
      <c r="K474" s="432" t="e">
        <f t="shared" si="32"/>
        <v>#VALUE!</v>
      </c>
    </row>
    <row r="475" spans="1:11" s="432" customFormat="1" ht="17.100000000000001" customHeight="1" x14ac:dyDescent="0.25">
      <c r="A475" s="210">
        <v>1</v>
      </c>
      <c r="B475" s="433" t="s">
        <v>138</v>
      </c>
      <c r="C475" s="186">
        <f>'Office Minor'!C11</f>
        <v>7</v>
      </c>
      <c r="D475" s="186">
        <f>'Office Minor'!D11</f>
        <v>11.5</v>
      </c>
      <c r="E475" s="186">
        <f>'Office Minor'!E11</f>
        <v>203</v>
      </c>
      <c r="F475" s="186">
        <f>'Office Minor'!F11</f>
        <v>142100</v>
      </c>
      <c r="G475" s="186">
        <f>'Office Minor'!G11</f>
        <v>1437118</v>
      </c>
      <c r="H475" s="186">
        <f>'Office Minor'!H11</f>
        <v>25</v>
      </c>
      <c r="K475" s="432">
        <f t="shared" si="32"/>
        <v>700</v>
      </c>
    </row>
    <row r="476" spans="1:11" s="432" customFormat="1" ht="17.100000000000001" customHeight="1" x14ac:dyDescent="0.25">
      <c r="A476" s="166">
        <v>2</v>
      </c>
      <c r="B476" s="433" t="s">
        <v>92</v>
      </c>
      <c r="C476" s="236">
        <f>'Office Minor'!C29</f>
        <v>0</v>
      </c>
      <c r="D476" s="236">
        <f>'Office Minor'!D29</f>
        <v>0</v>
      </c>
      <c r="E476" s="236">
        <f>'Office Minor'!E29</f>
        <v>0</v>
      </c>
      <c r="F476" s="236">
        <f>'Office Minor'!F29</f>
        <v>0</v>
      </c>
      <c r="G476" s="236">
        <f>'Office Minor'!G29</f>
        <v>0</v>
      </c>
      <c r="H476" s="236">
        <f>'Office Minor'!H29</f>
        <v>0</v>
      </c>
      <c r="K476" s="432" t="e">
        <f t="shared" si="32"/>
        <v>#DIV/0!</v>
      </c>
    </row>
    <row r="477" spans="1:11" s="432" customFormat="1" ht="17.100000000000001" customHeight="1" x14ac:dyDescent="0.25">
      <c r="A477" s="210">
        <v>3</v>
      </c>
      <c r="B477" s="433" t="s">
        <v>86</v>
      </c>
      <c r="C477" s="137">
        <f>'Office Minor'!C45</f>
        <v>1</v>
      </c>
      <c r="D477" s="137">
        <f>'Office Minor'!D45</f>
        <v>1.62</v>
      </c>
      <c r="E477" s="137">
        <f>'Office Minor'!E45</f>
        <v>3034.62</v>
      </c>
      <c r="F477" s="137">
        <f>'Office Minor'!F45</f>
        <v>1972503</v>
      </c>
      <c r="G477" s="137">
        <f>'Office Minor'!G45</f>
        <v>242770</v>
      </c>
      <c r="H477" s="137">
        <f>'Office Minor'!H45</f>
        <v>50</v>
      </c>
      <c r="K477" s="432">
        <f t="shared" si="32"/>
        <v>650</v>
      </c>
    </row>
    <row r="478" spans="1:11" s="432" customFormat="1" ht="17.100000000000001" customHeight="1" x14ac:dyDescent="0.25">
      <c r="A478" s="166">
        <v>4</v>
      </c>
      <c r="B478" s="433" t="s">
        <v>191</v>
      </c>
      <c r="C478" s="137">
        <f>'Office Minor'!C127+'Office Minor'!C130</f>
        <v>7</v>
      </c>
      <c r="D478" s="137">
        <f>'Office Minor'!D127+'Office Minor'!D130</f>
        <v>14.5</v>
      </c>
      <c r="E478" s="137">
        <f>'Office Minor'!E127+'Office Minor'!E130</f>
        <v>130021</v>
      </c>
      <c r="F478" s="221">
        <f>'Office Minor'!F127+'Office Minor'!F130</f>
        <v>95440700</v>
      </c>
      <c r="G478" s="137">
        <f>'Office Minor'!G127+'Office Minor'!G130</f>
        <v>5619935</v>
      </c>
      <c r="H478" s="137">
        <f>'Office Minor'!H127+'Office Minor'!H130</f>
        <v>118</v>
      </c>
      <c r="K478" s="432">
        <f t="shared" si="32"/>
        <v>734.04065497112003</v>
      </c>
    </row>
    <row r="479" spans="1:11" s="432" customFormat="1" ht="17.100000000000001" customHeight="1" x14ac:dyDescent="0.25">
      <c r="A479" s="210">
        <v>5</v>
      </c>
      <c r="B479" s="433" t="s">
        <v>81</v>
      </c>
      <c r="C479" s="137">
        <f>'Office Minor'!C171</f>
        <v>7</v>
      </c>
      <c r="D479" s="137">
        <f>'Office Minor'!D171</f>
        <v>10.62</v>
      </c>
      <c r="E479" s="137">
        <f>'Office Minor'!E171</f>
        <v>105</v>
      </c>
      <c r="F479" s="137">
        <f>'Office Minor'!F171</f>
        <v>73500</v>
      </c>
      <c r="G479" s="137">
        <f>'Office Minor'!G171</f>
        <v>831743</v>
      </c>
      <c r="H479" s="137">
        <f>'Office Minor'!H171</f>
        <v>32</v>
      </c>
      <c r="K479" s="432">
        <f t="shared" si="32"/>
        <v>700</v>
      </c>
    </row>
    <row r="480" spans="1:11" s="432" customFormat="1" ht="17.100000000000001" customHeight="1" x14ac:dyDescent="0.25">
      <c r="A480" s="166">
        <v>6</v>
      </c>
      <c r="B480" s="433" t="s">
        <v>153</v>
      </c>
      <c r="C480" s="137">
        <f>'Office Minor'!C303</f>
        <v>0</v>
      </c>
      <c r="D480" s="137">
        <f>'Office Minor'!D303</f>
        <v>0</v>
      </c>
      <c r="E480" s="137">
        <f>'Office Minor'!E303</f>
        <v>26287</v>
      </c>
      <c r="F480" s="137">
        <f>'Office Minor'!F303</f>
        <v>17087083</v>
      </c>
      <c r="G480" s="137">
        <f>'Office Minor'!G303</f>
        <v>1031473</v>
      </c>
      <c r="H480" s="137">
        <f>'Office Minor'!H303</f>
        <v>25</v>
      </c>
      <c r="K480" s="432">
        <f t="shared" si="32"/>
        <v>650.02027618214322</v>
      </c>
    </row>
    <row r="481" spans="1:11" s="432" customFormat="1" ht="17.100000000000001" customHeight="1" x14ac:dyDescent="0.25">
      <c r="A481" s="210">
        <v>7</v>
      </c>
      <c r="B481" s="433" t="s">
        <v>135</v>
      </c>
      <c r="C481" s="206">
        <f>'Office Minor'!C418</f>
        <v>1</v>
      </c>
      <c r="D481" s="206">
        <f>'Office Minor'!D418</f>
        <v>1</v>
      </c>
      <c r="E481" s="206">
        <f>'Office Minor'!E418</f>
        <v>0</v>
      </c>
      <c r="F481" s="206">
        <f>'Office Minor'!F418</f>
        <v>0</v>
      </c>
      <c r="G481" s="206">
        <f>'Office Minor'!G418</f>
        <v>0</v>
      </c>
      <c r="H481" s="206">
        <f>'Office Minor'!H418</f>
        <v>0</v>
      </c>
      <c r="K481" s="432" t="e">
        <f t="shared" si="32"/>
        <v>#DIV/0!</v>
      </c>
    </row>
    <row r="482" spans="1:11" s="432" customFormat="1" ht="17.100000000000001" customHeight="1" x14ac:dyDescent="0.25">
      <c r="A482" s="166">
        <v>8</v>
      </c>
      <c r="B482" s="433" t="s">
        <v>108</v>
      </c>
      <c r="C482" s="137">
        <f>'Office Minor'!C553</f>
        <v>0</v>
      </c>
      <c r="D482" s="137">
        <f>'Office Minor'!D553</f>
        <v>0</v>
      </c>
      <c r="E482" s="137">
        <f>'Office Minor'!E553</f>
        <v>682392</v>
      </c>
      <c r="F482" s="137">
        <f>'Office Minor'!F553</f>
        <v>443554235</v>
      </c>
      <c r="G482" s="137">
        <f>'Office Minor'!G553</f>
        <v>112346542</v>
      </c>
      <c r="H482" s="137">
        <f>'Office Minor'!H553</f>
        <v>1500</v>
      </c>
      <c r="K482" s="432">
        <f t="shared" si="32"/>
        <v>649.99917203015275</v>
      </c>
    </row>
    <row r="483" spans="1:11" s="432" customFormat="1" ht="17.100000000000001" customHeight="1" x14ac:dyDescent="0.25">
      <c r="A483" s="210">
        <v>9</v>
      </c>
      <c r="B483" s="214" t="s">
        <v>111</v>
      </c>
      <c r="C483" s="137">
        <f>'Office Minor'!C568</f>
        <v>2</v>
      </c>
      <c r="D483" s="137">
        <f>'Office Minor'!D568</f>
        <v>40.5</v>
      </c>
      <c r="E483" s="137">
        <f>'Office Minor'!E568</f>
        <v>2308</v>
      </c>
      <c r="F483" s="221">
        <f>'Office Minor'!F568</f>
        <v>1615600</v>
      </c>
      <c r="G483" s="137">
        <f>'Office Minor'!G568</f>
        <v>120016</v>
      </c>
      <c r="H483" s="137">
        <f>'Office Minor'!H568</f>
        <v>10</v>
      </c>
      <c r="K483" s="432">
        <f t="shared" si="32"/>
        <v>700</v>
      </c>
    </row>
    <row r="484" spans="1:11" s="432" customFormat="1" ht="17.100000000000001" customHeight="1" x14ac:dyDescent="0.25">
      <c r="A484" s="166">
        <v>10</v>
      </c>
      <c r="B484" s="433" t="s">
        <v>99</v>
      </c>
      <c r="C484" s="166">
        <f>'Office Minor'!C661</f>
        <v>14</v>
      </c>
      <c r="D484" s="166">
        <f>'Office Minor'!D661</f>
        <v>920.07</v>
      </c>
      <c r="E484" s="166">
        <f>'Office Minor'!E661</f>
        <v>32386</v>
      </c>
      <c r="F484" s="166">
        <f>'Office Minor'!F661</f>
        <v>21050900</v>
      </c>
      <c r="G484" s="166">
        <f>'Office Minor'!G661</f>
        <v>1943160</v>
      </c>
      <c r="H484" s="166">
        <f>'Office Minor'!H661</f>
        <v>0</v>
      </c>
      <c r="K484" s="432">
        <f t="shared" si="32"/>
        <v>650</v>
      </c>
    </row>
    <row r="485" spans="1:11" s="432" customFormat="1" ht="17.100000000000001" customHeight="1" x14ac:dyDescent="0.25">
      <c r="A485" s="210">
        <v>11</v>
      </c>
      <c r="B485" s="433" t="s">
        <v>125</v>
      </c>
      <c r="C485" s="166">
        <f>'Office Minor'!C678</f>
        <v>0</v>
      </c>
      <c r="D485" s="166">
        <f>'Office Minor'!D678</f>
        <v>0</v>
      </c>
      <c r="E485" s="166">
        <f>'Office Minor'!E678</f>
        <v>0</v>
      </c>
      <c r="F485" s="166">
        <f>'Office Minor'!F678</f>
        <v>0</v>
      </c>
      <c r="G485" s="166">
        <f>'Office Minor'!G678</f>
        <v>0</v>
      </c>
      <c r="H485" s="166">
        <f>'Office Minor'!H678</f>
        <v>0</v>
      </c>
      <c r="K485" s="432" t="e">
        <f t="shared" si="32"/>
        <v>#DIV/0!</v>
      </c>
    </row>
    <row r="486" spans="1:11" s="432" customFormat="1" ht="17.100000000000001" customHeight="1" x14ac:dyDescent="0.25">
      <c r="A486" s="166">
        <v>12</v>
      </c>
      <c r="B486" s="433" t="s">
        <v>139</v>
      </c>
      <c r="C486" s="361">
        <f>'Office Minor'!C753</f>
        <v>0</v>
      </c>
      <c r="D486" s="361">
        <f>'Office Minor'!D753</f>
        <v>0</v>
      </c>
      <c r="E486" s="361">
        <f>'Office Minor'!E753</f>
        <v>0</v>
      </c>
      <c r="F486" s="361">
        <f>'Office Minor'!F753</f>
        <v>0</v>
      </c>
      <c r="G486" s="361">
        <f>'Office Minor'!G753</f>
        <v>0</v>
      </c>
      <c r="H486" s="361">
        <f>'Office Minor'!H753</f>
        <v>0</v>
      </c>
      <c r="K486" s="432" t="e">
        <f t="shared" si="32"/>
        <v>#DIV/0!</v>
      </c>
    </row>
    <row r="487" spans="1:11" s="432" customFormat="1" ht="17.100000000000001" customHeight="1" x14ac:dyDescent="0.25">
      <c r="A487" s="210">
        <v>13</v>
      </c>
      <c r="B487" s="433" t="s">
        <v>116</v>
      </c>
      <c r="C487" s="144">
        <f>'Office Minor'!C776</f>
        <v>14</v>
      </c>
      <c r="D487" s="144">
        <f>'Office Minor'!D776</f>
        <v>13.85</v>
      </c>
      <c r="E487" s="144">
        <f>'Office Minor'!E776</f>
        <v>8208</v>
      </c>
      <c r="F487" s="144">
        <f>'Office Minor'!F776</f>
        <v>5745600</v>
      </c>
      <c r="G487" s="144">
        <f>'Office Minor'!G776</f>
        <v>3714717</v>
      </c>
      <c r="H487" s="144">
        <f>'Office Minor'!H776</f>
        <v>50</v>
      </c>
      <c r="K487" s="432">
        <f t="shared" si="32"/>
        <v>700</v>
      </c>
    </row>
    <row r="488" spans="1:11" s="432" customFormat="1" ht="17.100000000000001" customHeight="1" x14ac:dyDescent="0.25">
      <c r="A488" s="166">
        <v>14</v>
      </c>
      <c r="B488" s="433" t="s">
        <v>83</v>
      </c>
      <c r="C488" s="63">
        <f>'Office Minor'!C797</f>
        <v>9</v>
      </c>
      <c r="D488" s="63">
        <f>'Office Minor'!D797</f>
        <v>17.75</v>
      </c>
      <c r="E488" s="63">
        <f>'Office Minor'!E797</f>
        <v>25035</v>
      </c>
      <c r="F488" s="63">
        <f>'Office Minor'!F797</f>
        <v>17274150</v>
      </c>
      <c r="G488" s="63">
        <f>'Office Minor'!G797</f>
        <v>720416</v>
      </c>
      <c r="H488" s="63">
        <f>'Office Minor'!H797</f>
        <v>45</v>
      </c>
      <c r="K488" s="432">
        <f t="shared" si="32"/>
        <v>690</v>
      </c>
    </row>
    <row r="489" spans="1:11" s="432" customFormat="1" ht="17.100000000000001" customHeight="1" x14ac:dyDescent="0.25">
      <c r="A489" s="1136" t="s">
        <v>50</v>
      </c>
      <c r="B489" s="1137"/>
      <c r="C489" s="258">
        <f>SUM(C475:C488)</f>
        <v>62</v>
      </c>
      <c r="D489" s="429">
        <f t="shared" ref="D489:H489" si="34">SUM(D475:D488)</f>
        <v>1031.4100000000001</v>
      </c>
      <c r="E489" s="430">
        <f t="shared" si="34"/>
        <v>909979.62</v>
      </c>
      <c r="F489" s="430">
        <f t="shared" si="34"/>
        <v>603956371</v>
      </c>
      <c r="G489" s="430">
        <f>SUM(G475:G488)</f>
        <v>128007890</v>
      </c>
      <c r="H489" s="430">
        <f t="shared" si="34"/>
        <v>1855</v>
      </c>
      <c r="K489" s="432">
        <f t="shared" si="32"/>
        <v>663.70318381416064</v>
      </c>
    </row>
    <row r="490" spans="1:11" s="432" customFormat="1" ht="17.100000000000001" customHeight="1" x14ac:dyDescent="0.25">
      <c r="A490" s="21"/>
      <c r="B490" s="21"/>
      <c r="C490" s="21"/>
      <c r="D490" s="21"/>
      <c r="E490" s="21"/>
      <c r="F490" s="21"/>
      <c r="G490" s="21"/>
      <c r="H490" s="21"/>
      <c r="K490" s="432" t="e">
        <f t="shared" si="32"/>
        <v>#DIV/0!</v>
      </c>
    </row>
    <row r="491" spans="1:11" s="432" customFormat="1" ht="17.100000000000001" customHeight="1" x14ac:dyDescent="0.25">
      <c r="A491" s="1138" t="s">
        <v>122</v>
      </c>
      <c r="B491" s="1138"/>
      <c r="C491" s="1138"/>
      <c r="D491" s="1138"/>
      <c r="E491" s="1138"/>
      <c r="F491" s="1138"/>
      <c r="G491" s="1138"/>
      <c r="H491" s="1138"/>
      <c r="K491" s="432" t="e">
        <f t="shared" si="32"/>
        <v>#DIV/0!</v>
      </c>
    </row>
    <row r="492" spans="1:11" s="432" customFormat="1" ht="17.100000000000001" customHeight="1" x14ac:dyDescent="0.25">
      <c r="A492" s="1122" t="s">
        <v>2</v>
      </c>
      <c r="B492" s="1124" t="s">
        <v>77</v>
      </c>
      <c r="C492" s="249" t="s">
        <v>4</v>
      </c>
      <c r="D492" s="249" t="s">
        <v>5</v>
      </c>
      <c r="E492" s="249" t="s">
        <v>6</v>
      </c>
      <c r="F492" s="249" t="s">
        <v>7</v>
      </c>
      <c r="G492" s="249" t="s">
        <v>8</v>
      </c>
      <c r="H492" s="249" t="s">
        <v>9</v>
      </c>
      <c r="K492" s="432" t="e">
        <f t="shared" si="32"/>
        <v>#VALUE!</v>
      </c>
    </row>
    <row r="493" spans="1:11" s="432" customFormat="1" ht="17.100000000000001" customHeight="1" x14ac:dyDescent="0.25">
      <c r="A493" s="1123"/>
      <c r="B493" s="1125"/>
      <c r="C493" s="2" t="s">
        <v>10</v>
      </c>
      <c r="D493" s="2" t="s">
        <v>78</v>
      </c>
      <c r="E493" s="2" t="s">
        <v>79</v>
      </c>
      <c r="F493" s="52" t="s">
        <v>80</v>
      </c>
      <c r="G493" s="52" t="s">
        <v>80</v>
      </c>
      <c r="H493" s="2" t="s">
        <v>13</v>
      </c>
      <c r="K493" s="432" t="e">
        <f t="shared" si="32"/>
        <v>#VALUE!</v>
      </c>
    </row>
    <row r="494" spans="1:11" s="432" customFormat="1" ht="17.100000000000001" customHeight="1" x14ac:dyDescent="0.25">
      <c r="A494" s="166">
        <v>1</v>
      </c>
      <c r="B494" s="19" t="s">
        <v>83</v>
      </c>
      <c r="C494" s="166">
        <f>'Office Minor'!C803</f>
        <v>7</v>
      </c>
      <c r="D494" s="166">
        <f>'Office Minor'!D803</f>
        <v>197.53</v>
      </c>
      <c r="E494" s="166">
        <f>'Office Minor'!E803</f>
        <v>18131</v>
      </c>
      <c r="F494" s="166">
        <f>'Office Minor'!F803</f>
        <v>29009564.964674339</v>
      </c>
      <c r="G494" s="166">
        <f>'Office Minor'!G803</f>
        <v>11744060</v>
      </c>
      <c r="H494" s="166">
        <f>'Office Minor'!H803</f>
        <v>23</v>
      </c>
      <c r="K494" s="432">
        <f t="shared" si="32"/>
        <v>1599.9980676561877</v>
      </c>
    </row>
    <row r="495" spans="1:11" s="432" customFormat="1" ht="17.100000000000001" customHeight="1" x14ac:dyDescent="0.25">
      <c r="A495" s="166">
        <v>2</v>
      </c>
      <c r="B495" s="19" t="s">
        <v>546</v>
      </c>
      <c r="C495" s="166">
        <f>'Office Minor'!C609</f>
        <v>1</v>
      </c>
      <c r="D495" s="166">
        <f>'Office Minor'!D609</f>
        <v>4</v>
      </c>
      <c r="E495" s="166">
        <f>'Office Minor'!E609</f>
        <v>0</v>
      </c>
      <c r="F495" s="166">
        <f>'Office Minor'!F609</f>
        <v>0</v>
      </c>
      <c r="G495" s="166">
        <f>'Office Minor'!G609</f>
        <v>0</v>
      </c>
      <c r="H495" s="166">
        <f>'Office Minor'!H609</f>
        <v>0</v>
      </c>
      <c r="K495" s="432" t="e">
        <f t="shared" si="32"/>
        <v>#DIV/0!</v>
      </c>
    </row>
    <row r="496" spans="1:11" s="432" customFormat="1" ht="17.100000000000001" customHeight="1" x14ac:dyDescent="0.25">
      <c r="A496" s="166">
        <v>3</v>
      </c>
      <c r="B496" s="19" t="s">
        <v>81</v>
      </c>
      <c r="C496" s="166">
        <f>'Office Minor'!C172</f>
        <v>9</v>
      </c>
      <c r="D496" s="166">
        <f>'Office Minor'!D172</f>
        <v>204.62</v>
      </c>
      <c r="E496" s="166">
        <f>'Office Minor'!E172</f>
        <v>129843.15702479339</v>
      </c>
      <c r="F496" s="166">
        <f>'Office Minor'!F172</f>
        <v>214241209.09090909</v>
      </c>
      <c r="G496" s="166">
        <f>'Office Minor'!G172</f>
        <v>31422044</v>
      </c>
      <c r="H496" s="166">
        <f>'Office Minor'!H172</f>
        <v>0</v>
      </c>
      <c r="K496" s="432">
        <f t="shared" si="32"/>
        <v>1650</v>
      </c>
    </row>
    <row r="497" spans="1:11" s="432" customFormat="1" ht="17.100000000000001" customHeight="1" x14ac:dyDescent="0.25">
      <c r="A497" s="1136" t="s">
        <v>50</v>
      </c>
      <c r="B497" s="1137"/>
      <c r="C497" s="259">
        <f>SUM(C494:C496)</f>
        <v>17</v>
      </c>
      <c r="D497" s="259">
        <f t="shared" ref="D497:H497" si="35">SUM(D494:D496)</f>
        <v>406.15</v>
      </c>
      <c r="E497" s="259">
        <f t="shared" si="35"/>
        <v>147974.15702479339</v>
      </c>
      <c r="F497" s="259">
        <f t="shared" si="35"/>
        <v>243250774.05558342</v>
      </c>
      <c r="G497" s="259">
        <f>SUM(G494:G496)</f>
        <v>43166104</v>
      </c>
      <c r="H497" s="259">
        <f t="shared" si="35"/>
        <v>23</v>
      </c>
      <c r="K497" s="432">
        <f t="shared" si="32"/>
        <v>1643.8733556348373</v>
      </c>
    </row>
    <row r="498" spans="1:11" s="432" customFormat="1" ht="17.100000000000001" customHeight="1" x14ac:dyDescent="0.25">
      <c r="A498" s="21"/>
      <c r="B498" s="21"/>
      <c r="C498" s="21"/>
      <c r="D498" s="21"/>
      <c r="E498" s="21"/>
      <c r="F498" s="21"/>
      <c r="G498" s="21"/>
      <c r="H498" s="21"/>
      <c r="K498" s="432" t="e">
        <f t="shared" si="32"/>
        <v>#DIV/0!</v>
      </c>
    </row>
    <row r="499" spans="1:11" s="432" customFormat="1" ht="17.100000000000001" customHeight="1" x14ac:dyDescent="0.25">
      <c r="A499" s="1149" t="s">
        <v>68</v>
      </c>
      <c r="B499" s="1149"/>
      <c r="C499" s="1149"/>
      <c r="D499" s="1149"/>
      <c r="E499" s="1149"/>
      <c r="F499" s="1149"/>
      <c r="G499" s="1149"/>
      <c r="H499" s="1149"/>
      <c r="K499" s="432" t="e">
        <f t="shared" si="32"/>
        <v>#DIV/0!</v>
      </c>
    </row>
    <row r="500" spans="1:11" s="432" customFormat="1" ht="17.100000000000001" customHeight="1" x14ac:dyDescent="0.25">
      <c r="A500" s="1122" t="s">
        <v>2</v>
      </c>
      <c r="B500" s="1124" t="s">
        <v>77</v>
      </c>
      <c r="C500" s="249" t="s">
        <v>4</v>
      </c>
      <c r="D500" s="249" t="s">
        <v>5</v>
      </c>
      <c r="E500" s="249" t="s">
        <v>6</v>
      </c>
      <c r="F500" s="249" t="s">
        <v>7</v>
      </c>
      <c r="G500" s="249" t="s">
        <v>8</v>
      </c>
      <c r="H500" s="249" t="s">
        <v>9</v>
      </c>
      <c r="K500" s="432" t="e">
        <f t="shared" si="32"/>
        <v>#VALUE!</v>
      </c>
    </row>
    <row r="501" spans="1:11" s="432" customFormat="1" ht="17.100000000000001" customHeight="1" x14ac:dyDescent="0.25">
      <c r="A501" s="1123"/>
      <c r="B501" s="1125"/>
      <c r="C501" s="2" t="s">
        <v>10</v>
      </c>
      <c r="D501" s="2" t="s">
        <v>52</v>
      </c>
      <c r="E501" s="2" t="s">
        <v>79</v>
      </c>
      <c r="F501" s="52" t="s">
        <v>80</v>
      </c>
      <c r="G501" s="52" t="s">
        <v>80</v>
      </c>
      <c r="H501" s="2" t="s">
        <v>13</v>
      </c>
      <c r="K501" s="432" t="e">
        <f t="shared" si="32"/>
        <v>#VALUE!</v>
      </c>
    </row>
    <row r="502" spans="1:11" s="432" customFormat="1" ht="17.100000000000001" customHeight="1" x14ac:dyDescent="0.25">
      <c r="A502" s="166">
        <v>1</v>
      </c>
      <c r="B502" s="433" t="s">
        <v>92</v>
      </c>
      <c r="C502" s="63">
        <f>'Office Minor'!C28</f>
        <v>4</v>
      </c>
      <c r="D502" s="63">
        <f>'Office Minor'!D28</f>
        <v>10.4</v>
      </c>
      <c r="E502" s="63">
        <f>'Office Minor'!E28</f>
        <v>45635</v>
      </c>
      <c r="F502" s="63">
        <f>'Office Minor'!F28</f>
        <v>10952305</v>
      </c>
      <c r="G502" s="63">
        <f>'Office Minor'!G28</f>
        <v>51578644</v>
      </c>
      <c r="H502" s="63">
        <f>'Office Minor'!H28</f>
        <v>10</v>
      </c>
      <c r="K502" s="432">
        <f t="shared" si="32"/>
        <v>239.99791826448998</v>
      </c>
    </row>
    <row r="503" spans="1:11" s="432" customFormat="1" ht="17.100000000000001" customHeight="1" x14ac:dyDescent="0.25">
      <c r="A503" s="166">
        <v>2</v>
      </c>
      <c r="B503" s="433" t="s">
        <v>406</v>
      </c>
      <c r="C503" s="203">
        <f>'Office Minor'!C260</f>
        <v>2</v>
      </c>
      <c r="D503" s="203">
        <f>'Office Minor'!D260</f>
        <v>20.707699999999999</v>
      </c>
      <c r="E503" s="203">
        <f>'Office Minor'!E260</f>
        <v>571</v>
      </c>
      <c r="F503" s="203">
        <f>'Office Minor'!F260</f>
        <v>142750</v>
      </c>
      <c r="G503" s="203">
        <f>'Office Minor'!G260</f>
        <v>45680</v>
      </c>
      <c r="H503" s="203">
        <f>'Office Minor'!H260</f>
        <v>0</v>
      </c>
      <c r="K503" s="432">
        <f t="shared" si="32"/>
        <v>250</v>
      </c>
    </row>
    <row r="504" spans="1:11" s="432" customFormat="1" ht="17.100000000000001" customHeight="1" x14ac:dyDescent="0.25">
      <c r="A504" s="166">
        <v>3</v>
      </c>
      <c r="B504" s="433" t="s">
        <v>110</v>
      </c>
      <c r="C504" s="203">
        <f>'Office Minor'!C277</f>
        <v>0</v>
      </c>
      <c r="D504" s="203">
        <f>'Office Minor'!D277</f>
        <v>0</v>
      </c>
      <c r="E504" s="203">
        <f>'Office Minor'!E277</f>
        <v>0</v>
      </c>
      <c r="F504" s="203">
        <f>'Office Minor'!F277</f>
        <v>0</v>
      </c>
      <c r="G504" s="203">
        <f>'Office Minor'!G277</f>
        <v>0</v>
      </c>
      <c r="H504" s="203">
        <f>'Office Minor'!H277</f>
        <v>0</v>
      </c>
      <c r="K504" s="432" t="e">
        <f t="shared" si="32"/>
        <v>#DIV/0!</v>
      </c>
    </row>
    <row r="505" spans="1:11" s="432" customFormat="1" ht="17.100000000000001" customHeight="1" x14ac:dyDescent="0.25">
      <c r="A505" s="166">
        <v>4</v>
      </c>
      <c r="B505" s="433" t="s">
        <v>84</v>
      </c>
      <c r="C505" s="144">
        <f>'Office Minor'!C414</f>
        <v>11</v>
      </c>
      <c r="D505" s="144">
        <f>'Office Minor'!D414</f>
        <v>14.914</v>
      </c>
      <c r="E505" s="144">
        <f>'Office Minor'!E414</f>
        <v>96220</v>
      </c>
      <c r="F505" s="144">
        <f>'Office Minor'!F414</f>
        <v>23573900</v>
      </c>
      <c r="G505" s="144">
        <f>'Office Minor'!G414</f>
        <v>8206000</v>
      </c>
      <c r="H505" s="144">
        <f>'Office Minor'!H414</f>
        <v>24</v>
      </c>
      <c r="K505" s="432">
        <f t="shared" si="32"/>
        <v>245</v>
      </c>
    </row>
    <row r="506" spans="1:11" s="432" customFormat="1" ht="17.100000000000001" customHeight="1" x14ac:dyDescent="0.25">
      <c r="A506" s="166">
        <v>5</v>
      </c>
      <c r="B506" s="433" t="s">
        <v>395</v>
      </c>
      <c r="C506" s="137">
        <f>'Office Minor'!C492</f>
        <v>4</v>
      </c>
      <c r="D506" s="137">
        <f>'Office Minor'!D492</f>
        <v>38.44</v>
      </c>
      <c r="E506" s="137">
        <f>'Office Minor'!E492</f>
        <v>4696</v>
      </c>
      <c r="F506" s="137">
        <f>'Office Minor'!F492</f>
        <v>1174040</v>
      </c>
      <c r="G506" s="137">
        <f>'Office Minor'!G492</f>
        <v>730551</v>
      </c>
      <c r="H506" s="137">
        <f>'Office Minor'!H492</f>
        <v>28</v>
      </c>
      <c r="K506" s="432">
        <f t="shared" si="32"/>
        <v>250.0085178875639</v>
      </c>
    </row>
    <row r="507" spans="1:11" s="432" customFormat="1" ht="17.100000000000001" customHeight="1" x14ac:dyDescent="0.25">
      <c r="A507" s="166">
        <v>6</v>
      </c>
      <c r="B507" s="433" t="s">
        <v>89</v>
      </c>
      <c r="C507" s="166">
        <f>'Office Minor'!C531</f>
        <v>5</v>
      </c>
      <c r="D507" s="166">
        <f>'Office Minor'!D531</f>
        <v>5</v>
      </c>
      <c r="E507" s="166">
        <f>'Office Minor'!E531</f>
        <v>12006</v>
      </c>
      <c r="F507" s="166">
        <f>'Office Minor'!F531</f>
        <v>3001500</v>
      </c>
      <c r="G507" s="166">
        <f>'Office Minor'!G531</f>
        <v>286331</v>
      </c>
      <c r="H507" s="166">
        <f>'Office Minor'!H531</f>
        <v>10</v>
      </c>
      <c r="K507" s="432">
        <f t="shared" si="32"/>
        <v>250</v>
      </c>
    </row>
    <row r="508" spans="1:11" s="432" customFormat="1" ht="17.100000000000001" customHeight="1" x14ac:dyDescent="0.25">
      <c r="A508" s="166">
        <v>7</v>
      </c>
      <c r="B508" s="433" t="s">
        <v>107</v>
      </c>
      <c r="C508" s="166">
        <f>'Office Minor'!C519</f>
        <v>1</v>
      </c>
      <c r="D508" s="166">
        <f>'Office Minor'!D519</f>
        <v>1</v>
      </c>
      <c r="E508" s="166">
        <f>'Office Minor'!E519</f>
        <v>91.41</v>
      </c>
      <c r="F508" s="166">
        <f>'Office Minor'!F519</f>
        <v>21938</v>
      </c>
      <c r="G508" s="166">
        <f>'Office Minor'!G519</f>
        <v>8227</v>
      </c>
      <c r="H508" s="166">
        <f>'Office Minor'!H519</f>
        <v>20</v>
      </c>
      <c r="K508" s="432">
        <f t="shared" si="32"/>
        <v>239.99562411114758</v>
      </c>
    </row>
    <row r="509" spans="1:11" s="432" customFormat="1" ht="17.100000000000001" customHeight="1" x14ac:dyDescent="0.25">
      <c r="A509" s="166">
        <v>8</v>
      </c>
      <c r="B509" s="433" t="s">
        <v>87</v>
      </c>
      <c r="C509" s="166">
        <f>'Office Minor'!C371</f>
        <v>0</v>
      </c>
      <c r="D509" s="166">
        <f>'Office Minor'!D371</f>
        <v>0</v>
      </c>
      <c r="E509" s="166">
        <f>'Office Minor'!E371</f>
        <v>0</v>
      </c>
      <c r="F509" s="166">
        <f>'Office Minor'!F371</f>
        <v>0</v>
      </c>
      <c r="G509" s="166">
        <f>'Office Minor'!G371</f>
        <v>0</v>
      </c>
      <c r="H509" s="166">
        <f>'Office Minor'!H371</f>
        <v>0</v>
      </c>
      <c r="K509" s="432" t="e">
        <f t="shared" si="32"/>
        <v>#DIV/0!</v>
      </c>
    </row>
    <row r="510" spans="1:11" s="432" customFormat="1" ht="17.100000000000001" customHeight="1" x14ac:dyDescent="0.25">
      <c r="A510" s="166">
        <v>9</v>
      </c>
      <c r="B510" s="433" t="s">
        <v>99</v>
      </c>
      <c r="C510" s="137">
        <f>'Office Minor'!C658</f>
        <v>3</v>
      </c>
      <c r="D510" s="137">
        <f>'Office Minor'!D658</f>
        <v>4</v>
      </c>
      <c r="E510" s="137">
        <f>'Office Minor'!E658</f>
        <v>0</v>
      </c>
      <c r="F510" s="137">
        <f>'Office Minor'!F658</f>
        <v>0</v>
      </c>
      <c r="G510" s="137">
        <f>'Office Minor'!G658</f>
        <v>0</v>
      </c>
      <c r="H510" s="137">
        <f>'Office Minor'!H658</f>
        <v>0</v>
      </c>
      <c r="K510" s="432" t="e">
        <f t="shared" si="32"/>
        <v>#DIV/0!</v>
      </c>
    </row>
    <row r="511" spans="1:11" s="432" customFormat="1" ht="17.100000000000001" customHeight="1" x14ac:dyDescent="0.25">
      <c r="A511" s="166">
        <v>10</v>
      </c>
      <c r="B511" s="433" t="s">
        <v>405</v>
      </c>
      <c r="C511" s="137">
        <f>'Office Minor'!C679</f>
        <v>0</v>
      </c>
      <c r="D511" s="137">
        <f>'Office Minor'!D679</f>
        <v>0</v>
      </c>
      <c r="E511" s="137">
        <f>'Office Minor'!E679</f>
        <v>0</v>
      </c>
      <c r="F511" s="137">
        <f>'Office Minor'!F679</f>
        <v>0</v>
      </c>
      <c r="G511" s="137">
        <f>'Office Minor'!G679</f>
        <v>0</v>
      </c>
      <c r="H511" s="137">
        <f>'Office Minor'!H679</f>
        <v>0</v>
      </c>
      <c r="K511" s="432" t="e">
        <f t="shared" si="32"/>
        <v>#DIV/0!</v>
      </c>
    </row>
    <row r="512" spans="1:11" s="432" customFormat="1" ht="17.100000000000001" customHeight="1" x14ac:dyDescent="0.25">
      <c r="A512" s="166">
        <v>11</v>
      </c>
      <c r="B512" s="433" t="s">
        <v>100</v>
      </c>
      <c r="C512" s="236">
        <f>'Office Minor'!C710</f>
        <v>3</v>
      </c>
      <c r="D512" s="236">
        <f>'Office Minor'!D710</f>
        <v>3</v>
      </c>
      <c r="E512" s="236">
        <f>'Office Minor'!E710</f>
        <v>0</v>
      </c>
      <c r="F512" s="236">
        <f>'Office Minor'!F710</f>
        <v>0</v>
      </c>
      <c r="G512" s="236">
        <f>'Office Minor'!G710</f>
        <v>0</v>
      </c>
      <c r="H512" s="236">
        <f>'Office Minor'!H710</f>
        <v>0</v>
      </c>
      <c r="K512" s="432" t="e">
        <f t="shared" si="32"/>
        <v>#DIV/0!</v>
      </c>
    </row>
    <row r="513" spans="1:11" s="432" customFormat="1" ht="17.100000000000001" customHeight="1" x14ac:dyDescent="0.25">
      <c r="A513" s="1136" t="s">
        <v>50</v>
      </c>
      <c r="B513" s="1137"/>
      <c r="C513" s="258">
        <f>SUM(C502:C512)</f>
        <v>33</v>
      </c>
      <c r="D513" s="429">
        <f t="shared" ref="D513:H513" si="36">SUM(D502:D512)</f>
        <v>97.461700000000008</v>
      </c>
      <c r="E513" s="430">
        <f t="shared" si="36"/>
        <v>159219.41</v>
      </c>
      <c r="F513" s="430">
        <f t="shared" si="36"/>
        <v>38866433</v>
      </c>
      <c r="G513" s="430">
        <f>SUM(G502:G512)</f>
        <v>60855433</v>
      </c>
      <c r="H513" s="430">
        <f t="shared" si="36"/>
        <v>92</v>
      </c>
      <c r="K513" s="432">
        <f t="shared" si="32"/>
        <v>244.10612374458617</v>
      </c>
    </row>
    <row r="514" spans="1:11" s="432" customFormat="1" ht="17.100000000000001" customHeight="1" x14ac:dyDescent="0.25">
      <c r="A514" s="21"/>
      <c r="B514" s="21"/>
      <c r="C514" s="21"/>
      <c r="D514" s="21"/>
      <c r="E514" s="21"/>
      <c r="F514" s="21"/>
      <c r="G514" s="21"/>
      <c r="H514" s="21"/>
      <c r="K514" s="432" t="e">
        <f t="shared" si="32"/>
        <v>#DIV/0!</v>
      </c>
    </row>
    <row r="515" spans="1:11" s="432" customFormat="1" ht="17.100000000000001" customHeight="1" x14ac:dyDescent="0.25">
      <c r="A515" s="1138" t="s">
        <v>40</v>
      </c>
      <c r="B515" s="1138"/>
      <c r="C515" s="1138"/>
      <c r="D515" s="1138"/>
      <c r="E515" s="1138"/>
      <c r="F515" s="1138"/>
      <c r="G515" s="1138"/>
      <c r="H515" s="1138"/>
      <c r="K515" s="432" t="e">
        <f t="shared" si="32"/>
        <v>#DIV/0!</v>
      </c>
    </row>
    <row r="516" spans="1:11" s="432" customFormat="1" ht="17.100000000000001" customHeight="1" x14ac:dyDescent="0.25">
      <c r="A516" s="1122" t="s">
        <v>2</v>
      </c>
      <c r="B516" s="1124" t="s">
        <v>77</v>
      </c>
      <c r="C516" s="249" t="s">
        <v>4</v>
      </c>
      <c r="D516" s="249" t="s">
        <v>5</v>
      </c>
      <c r="E516" s="249" t="s">
        <v>6</v>
      </c>
      <c r="F516" s="249" t="s">
        <v>7</v>
      </c>
      <c r="G516" s="249" t="s">
        <v>8</v>
      </c>
      <c r="H516" s="249" t="s">
        <v>9</v>
      </c>
      <c r="K516" s="432" t="e">
        <f t="shared" si="32"/>
        <v>#VALUE!</v>
      </c>
    </row>
    <row r="517" spans="1:11" s="432" customFormat="1" ht="17.100000000000001" customHeight="1" x14ac:dyDescent="0.25">
      <c r="A517" s="1123"/>
      <c r="B517" s="1125"/>
      <c r="C517" s="2" t="s">
        <v>10</v>
      </c>
      <c r="D517" s="2" t="s">
        <v>78</v>
      </c>
      <c r="E517" s="2" t="s">
        <v>79</v>
      </c>
      <c r="F517" s="52" t="s">
        <v>80</v>
      </c>
      <c r="G517" s="52" t="s">
        <v>80</v>
      </c>
      <c r="H517" s="2" t="s">
        <v>13</v>
      </c>
      <c r="K517" s="432" t="e">
        <f t="shared" si="32"/>
        <v>#VALUE!</v>
      </c>
    </row>
    <row r="518" spans="1:11" s="432" customFormat="1" ht="17.100000000000001" customHeight="1" x14ac:dyDescent="0.25">
      <c r="A518" s="166">
        <v>1</v>
      </c>
      <c r="B518" s="214" t="s">
        <v>123</v>
      </c>
      <c r="C518" s="213">
        <f>'Office Minor'!C13</f>
        <v>37</v>
      </c>
      <c r="D518" s="213">
        <f>'Office Minor'!D13</f>
        <v>199.37</v>
      </c>
      <c r="E518" s="213">
        <f>'Office Minor'!E13</f>
        <v>64318</v>
      </c>
      <c r="F518" s="213">
        <f>'Office Minor'!F13</f>
        <v>38912390</v>
      </c>
      <c r="G518" s="213">
        <f>'Office Minor'!G13</f>
        <v>6269645</v>
      </c>
      <c r="H518" s="213">
        <f>'Office Minor'!H13</f>
        <v>25</v>
      </c>
      <c r="K518" s="432">
        <f t="shared" si="32"/>
        <v>605</v>
      </c>
    </row>
    <row r="519" spans="1:11" s="432" customFormat="1" ht="17.100000000000001" customHeight="1" x14ac:dyDescent="0.25">
      <c r="A519" s="166">
        <v>2</v>
      </c>
      <c r="B519" s="214" t="s">
        <v>81</v>
      </c>
      <c r="C519" s="63">
        <f>'Office Minor'!C183</f>
        <v>0</v>
      </c>
      <c r="D519" s="63">
        <f>'Office Minor'!D183</f>
        <v>0</v>
      </c>
      <c r="E519" s="63">
        <f>'Office Minor'!E183</f>
        <v>288335</v>
      </c>
      <c r="F519" s="63">
        <f>'Office Minor'!F183</f>
        <v>173001000</v>
      </c>
      <c r="G519" s="63">
        <f>'Office Minor'!G183</f>
        <v>17055950</v>
      </c>
      <c r="H519" s="63">
        <f>'Office Minor'!H183</f>
        <v>0</v>
      </c>
      <c r="K519" s="432">
        <f t="shared" si="32"/>
        <v>600</v>
      </c>
    </row>
    <row r="520" spans="1:11" s="432" customFormat="1" ht="17.100000000000001" customHeight="1" x14ac:dyDescent="0.25">
      <c r="A520" s="166">
        <v>3</v>
      </c>
      <c r="B520" s="214" t="s">
        <v>102</v>
      </c>
      <c r="C520" s="137">
        <f>'Office Minor'!C148</f>
        <v>2</v>
      </c>
      <c r="D520" s="137">
        <f>'Office Minor'!D148</f>
        <v>9.7200000000000006</v>
      </c>
      <c r="E520" s="137">
        <f>'Office Minor'!E148</f>
        <v>284</v>
      </c>
      <c r="F520" s="137">
        <f>'Office Minor'!F148</f>
        <v>147224</v>
      </c>
      <c r="G520" s="137">
        <f>'Office Minor'!G148</f>
        <v>123200</v>
      </c>
      <c r="H520" s="137">
        <f>'Office Minor'!H148</f>
        <v>0</v>
      </c>
      <c r="K520" s="432">
        <f t="shared" ref="K520:K583" si="37">F520/E520</f>
        <v>518.3943661971831</v>
      </c>
    </row>
    <row r="521" spans="1:11" s="432" customFormat="1" ht="17.100000000000001" customHeight="1" x14ac:dyDescent="0.25">
      <c r="A521" s="166">
        <v>5</v>
      </c>
      <c r="B521" s="214" t="s">
        <v>150</v>
      </c>
      <c r="C521" s="137">
        <f>'Office Minor'!C81</f>
        <v>4</v>
      </c>
      <c r="D521" s="137">
        <f>'Office Minor'!D81</f>
        <v>4.25</v>
      </c>
      <c r="E521" s="137">
        <f>'Office Minor'!E81</f>
        <v>99961.57</v>
      </c>
      <c r="F521" s="137">
        <f>'Office Minor'!F81</f>
        <v>59616405</v>
      </c>
      <c r="G521" s="137">
        <f>'Office Minor'!G81</f>
        <v>13240338</v>
      </c>
      <c r="H521" s="137">
        <f>'Office Minor'!H81</f>
        <v>25</v>
      </c>
      <c r="K521" s="432">
        <f t="shared" si="37"/>
        <v>596.39324392363983</v>
      </c>
    </row>
    <row r="522" spans="1:11" s="432" customFormat="1" ht="17.100000000000001" customHeight="1" x14ac:dyDescent="0.25">
      <c r="A522" s="166">
        <v>6</v>
      </c>
      <c r="B522" s="214" t="s">
        <v>669</v>
      </c>
      <c r="C522" s="137">
        <f>'Office Minor'!C224</f>
        <v>0</v>
      </c>
      <c r="D522" s="137">
        <f>'Office Minor'!D224</f>
        <v>0</v>
      </c>
      <c r="E522" s="137">
        <f>'Office Minor'!E224</f>
        <v>314.04000000000002</v>
      </c>
      <c r="F522" s="137">
        <f>'Office Minor'!F224</f>
        <v>207266.40000000002</v>
      </c>
      <c r="G522" s="137">
        <f>'Office Minor'!G224</f>
        <v>5167</v>
      </c>
      <c r="H522" s="137">
        <f>'Office Minor'!H224</f>
        <v>5</v>
      </c>
      <c r="K522" s="432">
        <f t="shared" si="37"/>
        <v>660</v>
      </c>
    </row>
    <row r="523" spans="1:11" s="432" customFormat="1" ht="17.100000000000001" customHeight="1" x14ac:dyDescent="0.25">
      <c r="A523" s="166">
        <v>7</v>
      </c>
      <c r="B523" s="19" t="s">
        <v>104</v>
      </c>
      <c r="C523" s="137">
        <f>'Office Minor'!C261</f>
        <v>20</v>
      </c>
      <c r="D523" s="137">
        <f>'Office Minor'!D261</f>
        <v>90</v>
      </c>
      <c r="E523" s="137">
        <f>'Office Minor'!E261</f>
        <v>90113</v>
      </c>
      <c r="F523" s="137">
        <f>'Office Minor'!F261</f>
        <v>54067800</v>
      </c>
      <c r="G523" s="137">
        <f>'Office Minor'!G261</f>
        <v>13118532</v>
      </c>
      <c r="H523" s="137">
        <f>'Office Minor'!H261</f>
        <v>63</v>
      </c>
      <c r="K523" s="432">
        <f t="shared" si="37"/>
        <v>600</v>
      </c>
    </row>
    <row r="524" spans="1:11" s="432" customFormat="1" ht="17.100000000000001" customHeight="1" x14ac:dyDescent="0.25">
      <c r="A524" s="166">
        <v>8</v>
      </c>
      <c r="B524" s="214" t="s">
        <v>110</v>
      </c>
      <c r="C524" s="166">
        <f>'Office Minor'!C276</f>
        <v>2</v>
      </c>
      <c r="D524" s="166">
        <f>'Office Minor'!D276</f>
        <v>144.38999999999999</v>
      </c>
      <c r="E524" s="166">
        <f>'Office Minor'!E276</f>
        <v>41674</v>
      </c>
      <c r="F524" s="166">
        <f>'Office Minor'!F276</f>
        <v>25004400</v>
      </c>
      <c r="G524" s="166">
        <f>'Office Minor'!G276</f>
        <v>4065003</v>
      </c>
      <c r="H524" s="166">
        <f>'Office Minor'!H276</f>
        <v>8</v>
      </c>
      <c r="K524" s="432">
        <f t="shared" si="37"/>
        <v>600</v>
      </c>
    </row>
    <row r="525" spans="1:11" s="432" customFormat="1" ht="17.100000000000001" customHeight="1" x14ac:dyDescent="0.25">
      <c r="A525" s="166">
        <v>9</v>
      </c>
      <c r="B525" s="214" t="s">
        <v>153</v>
      </c>
      <c r="C525" s="166">
        <f>'Office Minor'!C307</f>
        <v>44</v>
      </c>
      <c r="D525" s="166">
        <f>'Office Minor'!D307</f>
        <v>54.51</v>
      </c>
      <c r="E525" s="166">
        <f>'Office Minor'!E307</f>
        <v>132496</v>
      </c>
      <c r="F525" s="166">
        <f>'Office Minor'!F307</f>
        <v>86122588</v>
      </c>
      <c r="G525" s="166">
        <f>'Office Minor'!G307</f>
        <v>31289864</v>
      </c>
      <c r="H525" s="166">
        <f>'Office Minor'!H307</f>
        <v>450</v>
      </c>
      <c r="K525" s="432">
        <f t="shared" si="37"/>
        <v>650.00141891075953</v>
      </c>
    </row>
    <row r="526" spans="1:11" s="432" customFormat="1" ht="17.100000000000001" customHeight="1" x14ac:dyDescent="0.25">
      <c r="A526" s="166">
        <v>10</v>
      </c>
      <c r="B526" s="214" t="s">
        <v>87</v>
      </c>
      <c r="C526" s="196">
        <f>'Office Minor'!C370</f>
        <v>1</v>
      </c>
      <c r="D526" s="196">
        <f>'Office Minor'!D370</f>
        <v>5</v>
      </c>
      <c r="E526" s="196">
        <f>'Office Minor'!E370</f>
        <v>0</v>
      </c>
      <c r="F526" s="196">
        <f>'Office Minor'!F370</f>
        <v>0</v>
      </c>
      <c r="G526" s="196">
        <f>'Office Minor'!G370</f>
        <v>0</v>
      </c>
      <c r="H526" s="196">
        <f>'Office Minor'!H370</f>
        <v>0</v>
      </c>
      <c r="K526" s="432" t="e">
        <f t="shared" si="37"/>
        <v>#DIV/0!</v>
      </c>
    </row>
    <row r="527" spans="1:11" s="432" customFormat="1" ht="17.100000000000001" customHeight="1" x14ac:dyDescent="0.25">
      <c r="A527" s="166">
        <v>11</v>
      </c>
      <c r="B527" s="214" t="s">
        <v>88</v>
      </c>
      <c r="C527" s="279">
        <f>'Office Minor'!C485</f>
        <v>3</v>
      </c>
      <c r="D527" s="279">
        <f>'Office Minor'!D485</f>
        <v>224.87</v>
      </c>
      <c r="E527" s="279">
        <f>'Office Minor'!E485</f>
        <v>1495</v>
      </c>
      <c r="F527" s="279">
        <f>'Office Minor'!F485</f>
        <v>897468</v>
      </c>
      <c r="G527" s="279">
        <f>'Office Minor'!G485</f>
        <v>130133</v>
      </c>
      <c r="H527" s="279">
        <f>'Office Minor'!H485</f>
        <v>30</v>
      </c>
      <c r="K527" s="432">
        <f t="shared" si="37"/>
        <v>600.31304347826085</v>
      </c>
    </row>
    <row r="528" spans="1:11" s="432" customFormat="1" ht="17.100000000000001" customHeight="1" x14ac:dyDescent="0.25">
      <c r="A528" s="166">
        <v>12</v>
      </c>
      <c r="B528" s="214" t="s">
        <v>457</v>
      </c>
      <c r="C528" s="279">
        <f>'Office Minor'!C502</f>
        <v>3</v>
      </c>
      <c r="D528" s="279">
        <f>'Office Minor'!D502</f>
        <v>14.32</v>
      </c>
      <c r="E528" s="279">
        <f>'Office Minor'!E502</f>
        <v>1778</v>
      </c>
      <c r="F528" s="279">
        <f>'Office Minor'!F502</f>
        <v>800064</v>
      </c>
      <c r="G528" s="279">
        <f>'Office Minor'!G502</f>
        <v>185000</v>
      </c>
      <c r="H528" s="279">
        <f>'Office Minor'!H502</f>
        <v>5</v>
      </c>
      <c r="K528" s="432">
        <f t="shared" si="37"/>
        <v>449.97975253093364</v>
      </c>
    </row>
    <row r="529" spans="1:11" s="432" customFormat="1" ht="17.100000000000001" customHeight="1" x14ac:dyDescent="0.25">
      <c r="A529" s="166">
        <v>13</v>
      </c>
      <c r="B529" s="214" t="s">
        <v>89</v>
      </c>
      <c r="C529" s="279">
        <f>'Office Minor'!C537</f>
        <v>4</v>
      </c>
      <c r="D529" s="279">
        <f>'Office Minor'!D537</f>
        <v>16.190000000000001</v>
      </c>
      <c r="E529" s="279">
        <f>'Office Minor'!E537</f>
        <v>320793</v>
      </c>
      <c r="F529" s="279">
        <f>'Office Minor'!F537</f>
        <v>192475800</v>
      </c>
      <c r="G529" s="279">
        <f>'Office Minor'!G537</f>
        <v>3247993</v>
      </c>
      <c r="H529" s="279">
        <f>'Office Minor'!H537</f>
        <v>10</v>
      </c>
      <c r="K529" s="432">
        <f t="shared" si="37"/>
        <v>600</v>
      </c>
    </row>
    <row r="530" spans="1:11" s="432" customFormat="1" ht="17.100000000000001" customHeight="1" x14ac:dyDescent="0.25">
      <c r="A530" s="166">
        <v>14</v>
      </c>
      <c r="B530" s="214" t="s">
        <v>98</v>
      </c>
      <c r="C530" s="196">
        <f>'Office Minor'!C587</f>
        <v>91</v>
      </c>
      <c r="D530" s="196">
        <f>'Office Minor'!D587</f>
        <v>419.72</v>
      </c>
      <c r="E530" s="196">
        <f>'Office Minor'!E587</f>
        <v>299152</v>
      </c>
      <c r="F530" s="196">
        <f>'Office Minor'!F587</f>
        <v>194449144</v>
      </c>
      <c r="G530" s="196">
        <f>'Office Minor'!G587</f>
        <v>8620000</v>
      </c>
      <c r="H530" s="196">
        <f>'Office Minor'!H587</f>
        <v>845</v>
      </c>
      <c r="K530" s="432">
        <f t="shared" si="37"/>
        <v>650.00114991709904</v>
      </c>
    </row>
    <row r="531" spans="1:11" s="432" customFormat="1" ht="17.100000000000001" customHeight="1" x14ac:dyDescent="0.25">
      <c r="A531" s="166">
        <v>15</v>
      </c>
      <c r="B531" s="214" t="s">
        <v>90</v>
      </c>
      <c r="C531" s="196">
        <f>'Office Minor'!C607</f>
        <v>194</v>
      </c>
      <c r="D531" s="196">
        <f>'Office Minor'!D607</f>
        <v>843.34</v>
      </c>
      <c r="E531" s="196">
        <f>'Office Minor'!E607</f>
        <v>1712527</v>
      </c>
      <c r="F531" s="196">
        <f>'Office Minor'!F607</f>
        <v>770637150</v>
      </c>
      <c r="G531" s="196">
        <f>'Office Minor'!G607</f>
        <v>101748000</v>
      </c>
      <c r="H531" s="749">
        <f>'Office Minor'!H607</f>
        <v>11494</v>
      </c>
      <c r="K531" s="432">
        <f t="shared" si="37"/>
        <v>450</v>
      </c>
    </row>
    <row r="532" spans="1:11" s="432" customFormat="1" ht="17.100000000000001" customHeight="1" x14ac:dyDescent="0.25">
      <c r="A532" s="166">
        <v>16</v>
      </c>
      <c r="B532" s="214" t="s">
        <v>108</v>
      </c>
      <c r="C532" s="137">
        <f>'Office Minor'!C557</f>
        <v>4</v>
      </c>
      <c r="D532" s="137">
        <f>'Office Minor'!D557</f>
        <v>5</v>
      </c>
      <c r="E532" s="137">
        <f>'Office Minor'!E557</f>
        <v>785.44</v>
      </c>
      <c r="F532" s="137">
        <f>'Office Minor'!F557</f>
        <v>384865.60000000003</v>
      </c>
      <c r="G532" s="137">
        <f>'Office Minor'!G557</f>
        <v>176085</v>
      </c>
      <c r="H532" s="137">
        <f>'Office Minor'!H557</f>
        <v>250</v>
      </c>
      <c r="K532" s="432">
        <f t="shared" si="37"/>
        <v>490</v>
      </c>
    </row>
    <row r="533" spans="1:11" s="432" customFormat="1" ht="17.100000000000001" customHeight="1" x14ac:dyDescent="0.25">
      <c r="A533" s="166">
        <v>17</v>
      </c>
      <c r="B533" s="214" t="s">
        <v>383</v>
      </c>
      <c r="C533" s="137">
        <f>'Office Minor'!C321</f>
        <v>1</v>
      </c>
      <c r="D533" s="137">
        <f>'Office Minor'!D321</f>
        <v>4.5</v>
      </c>
      <c r="E533" s="137">
        <f>'Office Minor'!E321</f>
        <v>9603</v>
      </c>
      <c r="F533" s="137">
        <f>'Office Minor'!F321</f>
        <v>4321408</v>
      </c>
      <c r="G533" s="137">
        <f>'Office Minor'!G321</f>
        <v>1008315</v>
      </c>
      <c r="H533" s="137">
        <f>'Office Minor'!H321</f>
        <v>5</v>
      </c>
      <c r="K533" s="432">
        <f t="shared" si="37"/>
        <v>450.00603977923566</v>
      </c>
    </row>
    <row r="534" spans="1:11" s="432" customFormat="1" ht="17.100000000000001" customHeight="1" x14ac:dyDescent="0.25">
      <c r="A534" s="166">
        <v>18</v>
      </c>
      <c r="B534" s="214" t="s">
        <v>111</v>
      </c>
      <c r="C534" s="166">
        <f>'Office Minor'!C575</f>
        <v>0</v>
      </c>
      <c r="D534" s="166">
        <f>'Office Minor'!D575</f>
        <v>0</v>
      </c>
      <c r="E534" s="166">
        <f>'Office Minor'!E575</f>
        <v>536</v>
      </c>
      <c r="F534" s="166">
        <f>'Office Minor'!F575</f>
        <v>258888</v>
      </c>
      <c r="G534" s="166">
        <f>'Office Minor'!G575</f>
        <v>53600</v>
      </c>
      <c r="H534" s="166">
        <f>'Office Minor'!H575</f>
        <v>10</v>
      </c>
      <c r="K534" s="432">
        <f t="shared" si="37"/>
        <v>483</v>
      </c>
    </row>
    <row r="535" spans="1:11" s="432" customFormat="1" ht="17.100000000000001" customHeight="1" x14ac:dyDescent="0.25">
      <c r="A535" s="166">
        <v>19</v>
      </c>
      <c r="B535" s="447" t="s">
        <v>376</v>
      </c>
      <c r="C535" s="196">
        <f>'Office Minor'!C697</f>
        <v>113</v>
      </c>
      <c r="D535" s="196">
        <f>'Office Minor'!D697</f>
        <v>758.33</v>
      </c>
      <c r="E535" s="196">
        <f>'Office Minor'!E697</f>
        <v>62299</v>
      </c>
      <c r="F535" s="196">
        <f>'Office Minor'!F697</f>
        <v>40494350</v>
      </c>
      <c r="G535" s="196">
        <f>'Office Minor'!G697</f>
        <v>5606910</v>
      </c>
      <c r="H535" s="196">
        <f>'Office Minor'!H697</f>
        <v>150</v>
      </c>
      <c r="K535" s="432">
        <f t="shared" si="37"/>
        <v>650</v>
      </c>
    </row>
    <row r="536" spans="1:11" s="432" customFormat="1" ht="17.100000000000001" customHeight="1" x14ac:dyDescent="0.25">
      <c r="A536" s="166">
        <v>20</v>
      </c>
      <c r="B536" s="19" t="s">
        <v>91</v>
      </c>
      <c r="C536" s="196">
        <f>'Office Minor'!C737</f>
        <v>19</v>
      </c>
      <c r="D536" s="196">
        <f>'Office Minor'!D737</f>
        <v>80.180000000000007</v>
      </c>
      <c r="E536" s="196">
        <f>'Office Minor'!E737</f>
        <v>203910</v>
      </c>
      <c r="F536" s="196">
        <f>'Office Minor'!F737</f>
        <v>132541858</v>
      </c>
      <c r="G536" s="196">
        <f>'Office Minor'!G737</f>
        <v>11648349</v>
      </c>
      <c r="H536" s="196">
        <f>'Office Minor'!H737</f>
        <v>150</v>
      </c>
      <c r="K536" s="432">
        <f t="shared" si="37"/>
        <v>650.001755676524</v>
      </c>
    </row>
    <row r="537" spans="1:11" s="432" customFormat="1" ht="17.100000000000001" customHeight="1" x14ac:dyDescent="0.25">
      <c r="A537" s="166">
        <v>21</v>
      </c>
      <c r="B537" s="19" t="s">
        <v>100</v>
      </c>
      <c r="C537" s="196">
        <f>'Office Minor'!C711</f>
        <v>5</v>
      </c>
      <c r="D537" s="196">
        <f>'Office Minor'!D711</f>
        <v>24.25</v>
      </c>
      <c r="E537" s="196">
        <f>'Office Minor'!E711</f>
        <v>1360</v>
      </c>
      <c r="F537" s="196">
        <f>'Office Minor'!F711</f>
        <v>783780</v>
      </c>
      <c r="G537" s="196">
        <f>'Office Minor'!G711</f>
        <v>155241</v>
      </c>
      <c r="H537" s="196">
        <f>'Office Minor'!H711</f>
        <v>110</v>
      </c>
      <c r="K537" s="432">
        <f t="shared" si="37"/>
        <v>576.30882352941171</v>
      </c>
    </row>
    <row r="538" spans="1:11" s="432" customFormat="1" ht="17.100000000000001" customHeight="1" x14ac:dyDescent="0.25">
      <c r="A538" s="166">
        <v>22</v>
      </c>
      <c r="B538" s="214" t="s">
        <v>95</v>
      </c>
      <c r="C538" s="166">
        <f>'Office Minor'!C755</f>
        <v>15</v>
      </c>
      <c r="D538" s="166">
        <f>'Office Minor'!D755</f>
        <v>125.8</v>
      </c>
      <c r="E538" s="166">
        <f>'Office Minor'!E755</f>
        <v>123415</v>
      </c>
      <c r="F538" s="166">
        <f>'Office Minor'!F755</f>
        <v>55536840</v>
      </c>
      <c r="G538" s="166">
        <f>'Office Minor'!G755</f>
        <v>28920270</v>
      </c>
      <c r="H538" s="166">
        <f>'Office Minor'!H755</f>
        <v>60</v>
      </c>
      <c r="K538" s="432">
        <f t="shared" si="37"/>
        <v>450.00072924685009</v>
      </c>
    </row>
    <row r="539" spans="1:11" s="432" customFormat="1" ht="17.100000000000001" customHeight="1" x14ac:dyDescent="0.25">
      <c r="A539" s="166">
        <v>23</v>
      </c>
      <c r="B539" s="214" t="s">
        <v>610</v>
      </c>
      <c r="C539" s="166">
        <f>'Office Minor'!C657</f>
        <v>0</v>
      </c>
      <c r="D539" s="166">
        <f>'Office Minor'!D657</f>
        <v>0</v>
      </c>
      <c r="E539" s="166">
        <f>'Office Minor'!E657</f>
        <v>211839</v>
      </c>
      <c r="F539" s="166">
        <f>'Office Minor'!F657</f>
        <v>128162595</v>
      </c>
      <c r="G539" s="166">
        <f>'Office Minor'!G657</f>
        <v>22243095</v>
      </c>
      <c r="H539" s="166">
        <f>'Office Minor'!H657</f>
        <v>100</v>
      </c>
      <c r="K539" s="432">
        <f t="shared" si="37"/>
        <v>605</v>
      </c>
    </row>
    <row r="540" spans="1:11" s="432" customFormat="1" ht="17.100000000000001" customHeight="1" x14ac:dyDescent="0.25">
      <c r="A540" s="166">
        <v>24</v>
      </c>
      <c r="B540" s="214" t="s">
        <v>125</v>
      </c>
      <c r="C540" s="166">
        <f>'Office Minor'!C677</f>
        <v>3</v>
      </c>
      <c r="D540" s="166">
        <f>'Office Minor'!D677</f>
        <v>17.25</v>
      </c>
      <c r="E540" s="166">
        <f>'Office Minor'!E677</f>
        <v>20568</v>
      </c>
      <c r="F540" s="166">
        <f>'Office Minor'!F677</f>
        <v>12341352</v>
      </c>
      <c r="G540" s="166">
        <f>'Office Minor'!G677</f>
        <v>1966772</v>
      </c>
      <c r="H540" s="166">
        <f>'Office Minor'!H677</f>
        <v>150</v>
      </c>
      <c r="K540" s="432">
        <f t="shared" si="37"/>
        <v>600.02683780630105</v>
      </c>
    </row>
    <row r="541" spans="1:11" s="432" customFormat="1" ht="17.100000000000001" customHeight="1" x14ac:dyDescent="0.25">
      <c r="A541" s="166">
        <v>25</v>
      </c>
      <c r="B541" s="214" t="s">
        <v>116</v>
      </c>
      <c r="C541" s="166">
        <f>'Office Minor'!C781</f>
        <v>70</v>
      </c>
      <c r="D541" s="166">
        <f>'Office Minor'!D781</f>
        <v>355.93</v>
      </c>
      <c r="E541" s="166">
        <f>'Office Minor'!E781</f>
        <v>406748</v>
      </c>
      <c r="F541" s="166">
        <f>'Office Minor'!F781</f>
        <v>246082540</v>
      </c>
      <c r="G541" s="166">
        <f>'Office Minor'!G781</f>
        <v>37420816</v>
      </c>
      <c r="H541" s="166">
        <f>'Office Minor'!H781</f>
        <v>150</v>
      </c>
      <c r="K541" s="432">
        <f t="shared" si="37"/>
        <v>605</v>
      </c>
    </row>
    <row r="542" spans="1:11" s="432" customFormat="1" ht="17.100000000000001" customHeight="1" x14ac:dyDescent="0.25">
      <c r="A542" s="166">
        <v>26</v>
      </c>
      <c r="B542" s="214" t="s">
        <v>83</v>
      </c>
      <c r="C542" s="166">
        <f>'Office Minor'!C808</f>
        <v>18</v>
      </c>
      <c r="D542" s="166">
        <f>'Office Minor'!D808</f>
        <v>70.58</v>
      </c>
      <c r="E542" s="166">
        <f>'Office Minor'!E808</f>
        <v>69191</v>
      </c>
      <c r="F542" s="166">
        <f>'Office Minor'!F808</f>
        <v>41514363.646404482</v>
      </c>
      <c r="G542" s="166">
        <f>'Office Minor'!G808</f>
        <v>72752478</v>
      </c>
      <c r="H542" s="166">
        <f>'Office Minor'!H808</f>
        <v>240</v>
      </c>
      <c r="K542" s="432">
        <f t="shared" si="37"/>
        <v>599.99658404134186</v>
      </c>
    </row>
    <row r="543" spans="1:11" s="432" customFormat="1" ht="17.100000000000001" customHeight="1" x14ac:dyDescent="0.25">
      <c r="A543" s="1136" t="s">
        <v>50</v>
      </c>
      <c r="B543" s="1137"/>
      <c r="C543" s="259">
        <f>SUM(C518:C542)</f>
        <v>653</v>
      </c>
      <c r="D543" s="260">
        <f t="shared" ref="D543:H543" si="38">SUM(D518:D542)</f>
        <v>3467.5</v>
      </c>
      <c r="E543" s="261">
        <f t="shared" si="38"/>
        <v>4163495.05</v>
      </c>
      <c r="F543" s="261">
        <f t="shared" si="38"/>
        <v>2258761539.6464043</v>
      </c>
      <c r="G543" s="261">
        <f>SUM(G518:G542)</f>
        <v>381050756</v>
      </c>
      <c r="H543" s="261">
        <f t="shared" si="38"/>
        <v>14335</v>
      </c>
      <c r="K543" s="432">
        <f t="shared" si="37"/>
        <v>542.51572597556094</v>
      </c>
    </row>
    <row r="544" spans="1:11" s="432" customFormat="1" ht="17.100000000000001" customHeight="1" x14ac:dyDescent="0.25">
      <c r="A544" s="21"/>
      <c r="B544" s="21"/>
      <c r="C544" s="21"/>
      <c r="D544" s="21"/>
      <c r="E544" s="21"/>
      <c r="F544" s="21"/>
      <c r="G544" s="21"/>
      <c r="H544" s="21"/>
      <c r="K544" s="432" t="e">
        <f t="shared" si="37"/>
        <v>#DIV/0!</v>
      </c>
    </row>
    <row r="545" spans="1:11" s="432" customFormat="1" ht="17.100000000000001" customHeight="1" x14ac:dyDescent="0.25">
      <c r="A545" s="1149" t="s">
        <v>69</v>
      </c>
      <c r="B545" s="1149"/>
      <c r="C545" s="1149"/>
      <c r="D545" s="1149"/>
      <c r="E545" s="1149"/>
      <c r="F545" s="1149"/>
      <c r="G545" s="1149"/>
      <c r="H545" s="1149"/>
      <c r="K545" s="432" t="e">
        <f t="shared" si="37"/>
        <v>#DIV/0!</v>
      </c>
    </row>
    <row r="546" spans="1:11" s="432" customFormat="1" ht="17.100000000000001" customHeight="1" x14ac:dyDescent="0.25">
      <c r="A546" s="1122" t="s">
        <v>2</v>
      </c>
      <c r="B546" s="1124" t="s">
        <v>77</v>
      </c>
      <c r="C546" s="249" t="s">
        <v>4</v>
      </c>
      <c r="D546" s="249" t="s">
        <v>5</v>
      </c>
      <c r="E546" s="249" t="s">
        <v>6</v>
      </c>
      <c r="F546" s="249" t="s">
        <v>7</v>
      </c>
      <c r="G546" s="249" t="s">
        <v>8</v>
      </c>
      <c r="H546" s="249" t="s">
        <v>9</v>
      </c>
      <c r="K546" s="432" t="e">
        <f t="shared" si="37"/>
        <v>#VALUE!</v>
      </c>
    </row>
    <row r="547" spans="1:11" s="432" customFormat="1" ht="17.100000000000001" customHeight="1" x14ac:dyDescent="0.25">
      <c r="A547" s="1123"/>
      <c r="B547" s="1125"/>
      <c r="C547" s="2" t="s">
        <v>10</v>
      </c>
      <c r="D547" s="2" t="s">
        <v>52</v>
      </c>
      <c r="E547" s="2" t="s">
        <v>79</v>
      </c>
      <c r="F547" s="52" t="s">
        <v>80</v>
      </c>
      <c r="G547" s="52" t="s">
        <v>80</v>
      </c>
      <c r="H547" s="2" t="s">
        <v>13</v>
      </c>
      <c r="K547" s="432" t="e">
        <f t="shared" si="37"/>
        <v>#VALUE!</v>
      </c>
    </row>
    <row r="548" spans="1:11" s="432" customFormat="1" ht="17.100000000000001" customHeight="1" x14ac:dyDescent="0.25">
      <c r="A548" s="166">
        <v>1</v>
      </c>
      <c r="B548" s="433" t="s">
        <v>118</v>
      </c>
      <c r="C548" s="63">
        <f>'Office Minor'!C431</f>
        <v>162</v>
      </c>
      <c r="D548" s="63">
        <f>'Office Minor'!D431</f>
        <v>166.92</v>
      </c>
      <c r="E548" s="63">
        <f>'Office Minor'!E431</f>
        <v>2775069</v>
      </c>
      <c r="F548" s="63">
        <f>'Office Minor'!F431</f>
        <v>346883707</v>
      </c>
      <c r="G548" s="63">
        <f>'Office Minor'!G431</f>
        <v>128401000</v>
      </c>
      <c r="H548" s="63">
        <f>'Office Minor'!H431</f>
        <v>625</v>
      </c>
      <c r="K548" s="432">
        <f t="shared" si="37"/>
        <v>125.00002954881482</v>
      </c>
    </row>
    <row r="549" spans="1:11" s="432" customFormat="1" ht="17.100000000000001" customHeight="1" x14ac:dyDescent="0.25">
      <c r="A549" s="166">
        <v>2</v>
      </c>
      <c r="B549" s="433" t="s">
        <v>97</v>
      </c>
      <c r="C549" s="63">
        <f>'Office Minor'!C387</f>
        <v>5</v>
      </c>
      <c r="D549" s="63">
        <f>'Office Minor'!D387</f>
        <v>5</v>
      </c>
      <c r="E549" s="63">
        <f>'Office Minor'!E387</f>
        <v>22304</v>
      </c>
      <c r="F549" s="63">
        <f>'Office Minor'!F387</f>
        <v>5576000</v>
      </c>
      <c r="G549" s="63">
        <f>'Office Minor'!G387</f>
        <v>2721088</v>
      </c>
      <c r="H549" s="63">
        <f>'Office Minor'!H387</f>
        <v>50</v>
      </c>
      <c r="K549" s="432">
        <f t="shared" si="37"/>
        <v>250</v>
      </c>
    </row>
    <row r="550" spans="1:11" s="432" customFormat="1" ht="17.100000000000001" customHeight="1" x14ac:dyDescent="0.25">
      <c r="A550" s="166">
        <v>3</v>
      </c>
      <c r="B550" s="433" t="s">
        <v>139</v>
      </c>
      <c r="C550" s="143">
        <f>'Office Minor'!C749</f>
        <v>7</v>
      </c>
      <c r="D550" s="143">
        <f>'Office Minor'!D749</f>
        <v>12.24</v>
      </c>
      <c r="E550" s="143">
        <f>'Office Minor'!E749</f>
        <v>49040</v>
      </c>
      <c r="F550" s="143">
        <f>'Office Minor'!F749</f>
        <v>6865480</v>
      </c>
      <c r="G550" s="143">
        <f>'Office Minor'!G749</f>
        <v>2242200</v>
      </c>
      <c r="H550" s="143">
        <f>'Office Minor'!H749</f>
        <v>30</v>
      </c>
      <c r="K550" s="432">
        <f t="shared" si="37"/>
        <v>139.99755301794454</v>
      </c>
    </row>
    <row r="551" spans="1:11" s="432" customFormat="1" ht="17.100000000000001" customHeight="1" x14ac:dyDescent="0.25">
      <c r="A551" s="1136" t="s">
        <v>50</v>
      </c>
      <c r="B551" s="1137"/>
      <c r="C551" s="258">
        <f>SUM(C548:C550)</f>
        <v>174</v>
      </c>
      <c r="D551" s="429">
        <f t="shared" ref="D551:H551" si="39">SUM(D548:D550)</f>
        <v>184.16</v>
      </c>
      <c r="E551" s="430">
        <f t="shared" si="39"/>
        <v>2846413</v>
      </c>
      <c r="F551" s="258">
        <f t="shared" si="39"/>
        <v>359325187</v>
      </c>
      <c r="G551" s="430">
        <f>SUM(G548:G550)</f>
        <v>133364288</v>
      </c>
      <c r="H551" s="430">
        <f t="shared" si="39"/>
        <v>705</v>
      </c>
      <c r="K551" s="432">
        <f t="shared" si="37"/>
        <v>126.23789555486151</v>
      </c>
    </row>
    <row r="552" spans="1:11" s="432" customFormat="1" ht="17.100000000000001" customHeight="1" x14ac:dyDescent="0.25">
      <c r="A552" s="21"/>
      <c r="B552" s="21"/>
      <c r="C552" s="21"/>
      <c r="D552" s="21"/>
      <c r="E552" s="21"/>
      <c r="F552" s="21"/>
      <c r="G552" s="21"/>
      <c r="H552" s="21"/>
      <c r="K552" s="432" t="e">
        <f t="shared" si="37"/>
        <v>#DIV/0!</v>
      </c>
    </row>
    <row r="553" spans="1:11" s="432" customFormat="1" ht="17.100000000000001" customHeight="1" x14ac:dyDescent="0.25">
      <c r="A553" s="1149" t="s">
        <v>70</v>
      </c>
      <c r="B553" s="1149"/>
      <c r="C553" s="1149"/>
      <c r="D553" s="1149"/>
      <c r="E553" s="1149"/>
      <c r="F553" s="1149"/>
      <c r="G553" s="1149"/>
      <c r="H553" s="1149"/>
      <c r="K553" s="432" t="e">
        <f t="shared" si="37"/>
        <v>#DIV/0!</v>
      </c>
    </row>
    <row r="554" spans="1:11" s="432" customFormat="1" ht="17.100000000000001" customHeight="1" x14ac:dyDescent="0.25">
      <c r="A554" s="1122" t="s">
        <v>2</v>
      </c>
      <c r="B554" s="1124" t="s">
        <v>77</v>
      </c>
      <c r="C554" s="249" t="s">
        <v>4</v>
      </c>
      <c r="D554" s="249" t="s">
        <v>5</v>
      </c>
      <c r="E554" s="249" t="s">
        <v>6</v>
      </c>
      <c r="F554" s="249" t="s">
        <v>7</v>
      </c>
      <c r="G554" s="249" t="s">
        <v>8</v>
      </c>
      <c r="H554" s="249" t="s">
        <v>9</v>
      </c>
      <c r="K554" s="432" t="e">
        <f t="shared" si="37"/>
        <v>#VALUE!</v>
      </c>
    </row>
    <row r="555" spans="1:11" s="432" customFormat="1" ht="17.100000000000001" customHeight="1" x14ac:dyDescent="0.25">
      <c r="A555" s="1123"/>
      <c r="B555" s="1125"/>
      <c r="C555" s="2" t="s">
        <v>10</v>
      </c>
      <c r="D555" s="2" t="s">
        <v>52</v>
      </c>
      <c r="E555" s="2" t="s">
        <v>79</v>
      </c>
      <c r="F555" s="52" t="s">
        <v>80</v>
      </c>
      <c r="G555" s="52" t="s">
        <v>80</v>
      </c>
      <c r="H555" s="2" t="s">
        <v>13</v>
      </c>
      <c r="K555" s="432" t="e">
        <f t="shared" si="37"/>
        <v>#VALUE!</v>
      </c>
    </row>
    <row r="556" spans="1:11" s="432" customFormat="1" ht="17.100000000000001" customHeight="1" x14ac:dyDescent="0.25">
      <c r="A556" s="166">
        <v>1</v>
      </c>
      <c r="B556" s="433" t="s">
        <v>117</v>
      </c>
      <c r="C556" s="63">
        <f>'Office Minor'!C331</f>
        <v>0</v>
      </c>
      <c r="D556" s="63">
        <f>'Office Minor'!D331</f>
        <v>0</v>
      </c>
      <c r="E556" s="63">
        <f>'Office Minor'!E331</f>
        <v>0</v>
      </c>
      <c r="F556" s="63">
        <f>'Office Minor'!F331</f>
        <v>0</v>
      </c>
      <c r="G556" s="63">
        <f>'Office Minor'!G331</f>
        <v>0</v>
      </c>
      <c r="H556" s="63">
        <f>'Office Minor'!H331</f>
        <v>0</v>
      </c>
      <c r="K556" s="432" t="e">
        <f t="shared" si="37"/>
        <v>#DIV/0!</v>
      </c>
    </row>
    <row r="557" spans="1:11" s="432" customFormat="1" ht="17.100000000000001" customHeight="1" x14ac:dyDescent="0.25">
      <c r="A557" s="1136" t="s">
        <v>50</v>
      </c>
      <c r="B557" s="1137"/>
      <c r="C557" s="258">
        <f>SUM(C556)</f>
        <v>0</v>
      </c>
      <c r="D557" s="429">
        <f t="shared" ref="D557:H557" si="40">SUM(D556)</f>
        <v>0</v>
      </c>
      <c r="E557" s="430">
        <f t="shared" si="40"/>
        <v>0</v>
      </c>
      <c r="F557" s="258">
        <f t="shared" si="40"/>
        <v>0</v>
      </c>
      <c r="G557" s="430">
        <f t="shared" si="40"/>
        <v>0</v>
      </c>
      <c r="H557" s="430">
        <f t="shared" si="40"/>
        <v>0</v>
      </c>
      <c r="K557" s="432" t="e">
        <f t="shared" si="37"/>
        <v>#DIV/0!</v>
      </c>
    </row>
    <row r="558" spans="1:11" s="432" customFormat="1" ht="17.100000000000001" customHeight="1" x14ac:dyDescent="0.25">
      <c r="A558" s="21"/>
      <c r="B558" s="21"/>
      <c r="C558" s="21"/>
      <c r="D558" s="21"/>
      <c r="E558" s="21"/>
      <c r="F558" s="21"/>
      <c r="G558" s="21"/>
      <c r="H558" s="21"/>
      <c r="K558" s="432" t="e">
        <f t="shared" si="37"/>
        <v>#DIV/0!</v>
      </c>
    </row>
    <row r="559" spans="1:11" s="432" customFormat="1" ht="17.100000000000001" customHeight="1" x14ac:dyDescent="0.25">
      <c r="A559" s="1149" t="s">
        <v>71</v>
      </c>
      <c r="B559" s="1149"/>
      <c r="C559" s="1149"/>
      <c r="D559" s="1149"/>
      <c r="E559" s="1149"/>
      <c r="F559" s="1149"/>
      <c r="G559" s="1149"/>
      <c r="H559" s="1149"/>
      <c r="K559" s="432" t="e">
        <f t="shared" si="37"/>
        <v>#DIV/0!</v>
      </c>
    </row>
    <row r="560" spans="1:11" s="432" customFormat="1" ht="17.100000000000001" customHeight="1" x14ac:dyDescent="0.25">
      <c r="A560" s="1122" t="s">
        <v>2</v>
      </c>
      <c r="B560" s="1124" t="s">
        <v>77</v>
      </c>
      <c r="C560" s="249" t="s">
        <v>4</v>
      </c>
      <c r="D560" s="249" t="s">
        <v>5</v>
      </c>
      <c r="E560" s="249" t="s">
        <v>6</v>
      </c>
      <c r="F560" s="249" t="s">
        <v>7</v>
      </c>
      <c r="G560" s="249" t="s">
        <v>8</v>
      </c>
      <c r="H560" s="249" t="s">
        <v>9</v>
      </c>
      <c r="K560" s="432" t="e">
        <f t="shared" si="37"/>
        <v>#VALUE!</v>
      </c>
    </row>
    <row r="561" spans="1:11" s="432" customFormat="1" ht="17.100000000000001" customHeight="1" x14ac:dyDescent="0.25">
      <c r="A561" s="1123"/>
      <c r="B561" s="1125"/>
      <c r="C561" s="2" t="s">
        <v>10</v>
      </c>
      <c r="D561" s="2" t="s">
        <v>52</v>
      </c>
      <c r="E561" s="2" t="s">
        <v>79</v>
      </c>
      <c r="F561" s="52" t="s">
        <v>80</v>
      </c>
      <c r="G561" s="52" t="s">
        <v>80</v>
      </c>
      <c r="H561" s="2" t="s">
        <v>13</v>
      </c>
      <c r="K561" s="432" t="e">
        <f t="shared" si="37"/>
        <v>#VALUE!</v>
      </c>
    </row>
    <row r="562" spans="1:11" s="432" customFormat="1" ht="17.100000000000001" customHeight="1" x14ac:dyDescent="0.25">
      <c r="A562" s="166">
        <v>1</v>
      </c>
      <c r="B562" s="433" t="s">
        <v>140</v>
      </c>
      <c r="C562" s="204">
        <f>'Office Minor'!C92</f>
        <v>2</v>
      </c>
      <c r="D562" s="204">
        <f>'Office Minor'!D92</f>
        <v>2</v>
      </c>
      <c r="E562" s="204">
        <f>'Office Minor'!E92</f>
        <v>0</v>
      </c>
      <c r="F562" s="204">
        <f>'Office Minor'!F92</f>
        <v>0</v>
      </c>
      <c r="G562" s="204">
        <f>'Office Minor'!G92</f>
        <v>0</v>
      </c>
      <c r="H562" s="204">
        <f>'Office Minor'!H92</f>
        <v>0</v>
      </c>
      <c r="I562" s="366"/>
      <c r="K562" s="432" t="e">
        <f t="shared" si="37"/>
        <v>#DIV/0!</v>
      </c>
    </row>
    <row r="563" spans="1:11" s="432" customFormat="1" ht="17.100000000000001" customHeight="1" x14ac:dyDescent="0.25">
      <c r="A563" s="166">
        <v>2</v>
      </c>
      <c r="B563" s="454" t="s">
        <v>145</v>
      </c>
      <c r="C563" s="236">
        <f>'Office Minor'!C61</f>
        <v>52</v>
      </c>
      <c r="D563" s="236">
        <f>'Office Minor'!D61</f>
        <v>55.28</v>
      </c>
      <c r="E563" s="236">
        <f>'Office Minor'!E61</f>
        <v>2552037.75</v>
      </c>
      <c r="F563" s="236">
        <f>'Office Minor'!F61</f>
        <v>2552037750</v>
      </c>
      <c r="G563" s="236">
        <f>'Office Minor'!G61</f>
        <v>595867242</v>
      </c>
      <c r="H563" s="236">
        <f>'Office Minor'!H61</f>
        <v>14600</v>
      </c>
      <c r="K563" s="432">
        <f t="shared" si="37"/>
        <v>1000</v>
      </c>
    </row>
    <row r="564" spans="1:11" s="432" customFormat="1" ht="17.100000000000001" customHeight="1" x14ac:dyDescent="0.25">
      <c r="A564" s="166">
        <v>3</v>
      </c>
      <c r="B564" s="433" t="s">
        <v>151</v>
      </c>
      <c r="C564" s="63">
        <f>'Office Minor'!C106</f>
        <v>1</v>
      </c>
      <c r="D564" s="63">
        <f>'Office Minor'!D106</f>
        <v>2</v>
      </c>
      <c r="E564" s="63">
        <f>'Office Minor'!E106</f>
        <v>940</v>
      </c>
      <c r="F564" s="63">
        <f>'Office Minor'!F106</f>
        <v>705000</v>
      </c>
      <c r="G564" s="63">
        <f>'Office Minor'!G106</f>
        <v>140000</v>
      </c>
      <c r="H564" s="63">
        <f>'Office Minor'!H106</f>
        <v>2</v>
      </c>
      <c r="K564" s="432">
        <f t="shared" si="37"/>
        <v>750</v>
      </c>
    </row>
    <row r="565" spans="1:11" s="432" customFormat="1" ht="17.100000000000001" customHeight="1" x14ac:dyDescent="0.25">
      <c r="A565" s="166">
        <v>4</v>
      </c>
      <c r="B565" s="433" t="s">
        <v>141</v>
      </c>
      <c r="C565" s="63">
        <f>'Office Minor'!C142</f>
        <v>0</v>
      </c>
      <c r="D565" s="63">
        <f>'Office Minor'!D142</f>
        <v>0</v>
      </c>
      <c r="E565" s="63">
        <f>'Office Minor'!E142</f>
        <v>2843451</v>
      </c>
      <c r="F565" s="63">
        <f>'Office Minor'!F142</f>
        <v>2843450610</v>
      </c>
      <c r="G565" s="63">
        <f>'Office Minor'!G142</f>
        <v>667696906</v>
      </c>
      <c r="H565" s="63">
        <f>'Office Minor'!H142</f>
        <v>5000</v>
      </c>
      <c r="K565" s="432">
        <f t="shared" si="37"/>
        <v>999.99986284272177</v>
      </c>
    </row>
    <row r="566" spans="1:11" s="432" customFormat="1" ht="17.100000000000001" customHeight="1" x14ac:dyDescent="0.25">
      <c r="A566" s="166">
        <v>5</v>
      </c>
      <c r="B566" s="433" t="s">
        <v>96</v>
      </c>
      <c r="C566" s="63">
        <f>'Office Minor'!C197</f>
        <v>1</v>
      </c>
      <c r="D566" s="63">
        <f>'Office Minor'!D197</f>
        <v>3.28</v>
      </c>
      <c r="E566" s="63">
        <f>'Office Minor'!E197</f>
        <v>1185</v>
      </c>
      <c r="F566" s="63">
        <f>'Office Minor'!F197</f>
        <v>888750</v>
      </c>
      <c r="G566" s="63">
        <f>'Office Minor'!G197</f>
        <v>747900</v>
      </c>
      <c r="H566" s="63">
        <f>'Office Minor'!H197</f>
        <v>85</v>
      </c>
      <c r="K566" s="432">
        <f t="shared" si="37"/>
        <v>750</v>
      </c>
    </row>
    <row r="567" spans="1:11" s="432" customFormat="1" ht="17.100000000000001" customHeight="1" x14ac:dyDescent="0.25">
      <c r="A567" s="166">
        <v>6</v>
      </c>
      <c r="B567" s="433" t="s">
        <v>148</v>
      </c>
      <c r="C567" s="63">
        <f>'Office Minor'!C207</f>
        <v>199</v>
      </c>
      <c r="D567" s="63">
        <f>'Office Minor'!D207</f>
        <v>830.20330000000001</v>
      </c>
      <c r="E567" s="63">
        <f>'Office Minor'!E207</f>
        <v>493547</v>
      </c>
      <c r="F567" s="63">
        <f>'Office Minor'!F207</f>
        <v>419514950</v>
      </c>
      <c r="G567" s="63">
        <f>'Office Minor'!G207</f>
        <v>480984809</v>
      </c>
      <c r="H567" s="63">
        <f>'Office Minor'!H207</f>
        <v>2985</v>
      </c>
      <c r="K567" s="432">
        <f t="shared" si="37"/>
        <v>850</v>
      </c>
    </row>
    <row r="568" spans="1:11" s="432" customFormat="1" ht="17.100000000000001" customHeight="1" x14ac:dyDescent="0.25">
      <c r="A568" s="166">
        <v>7</v>
      </c>
      <c r="B568" s="433" t="s">
        <v>142</v>
      </c>
      <c r="C568" s="204">
        <f>'Office Minor'!C215</f>
        <v>363</v>
      </c>
      <c r="D568" s="204">
        <f>'Office Minor'!D215</f>
        <v>644.04999999999995</v>
      </c>
      <c r="E568" s="204">
        <f>'Office Minor'!E215</f>
        <v>778181</v>
      </c>
      <c r="F568" s="204">
        <f>'Office Minor'!F215</f>
        <v>622545320</v>
      </c>
      <c r="G568" s="204">
        <f>'Office Minor'!G215</f>
        <v>62674518</v>
      </c>
      <c r="H568" s="204">
        <f>'Office Minor'!H215</f>
        <v>4500</v>
      </c>
      <c r="K568" s="432">
        <f t="shared" si="37"/>
        <v>800.00066822500162</v>
      </c>
    </row>
    <row r="569" spans="1:11" s="432" customFormat="1" ht="17.100000000000001" customHeight="1" x14ac:dyDescent="0.25">
      <c r="A569" s="166">
        <v>8</v>
      </c>
      <c r="B569" s="433" t="s">
        <v>104</v>
      </c>
      <c r="C569" s="144">
        <f>'Office Minor'!C249</f>
        <v>0</v>
      </c>
      <c r="D569" s="144">
        <f>'Office Minor'!D249</f>
        <v>0</v>
      </c>
      <c r="E569" s="144">
        <f>'Office Minor'!E249</f>
        <v>32094.57</v>
      </c>
      <c r="F569" s="144">
        <f>'Office Minor'!F249</f>
        <v>32094570</v>
      </c>
      <c r="G569" s="144">
        <f>'Office Minor'!G249</f>
        <v>3209457</v>
      </c>
      <c r="H569" s="144">
        <f>'Office Minor'!H249</f>
        <v>70</v>
      </c>
      <c r="K569" s="432">
        <f t="shared" si="37"/>
        <v>1000</v>
      </c>
    </row>
    <row r="570" spans="1:11" s="432" customFormat="1" ht="17.100000000000001" customHeight="1" x14ac:dyDescent="0.25">
      <c r="A570" s="166">
        <v>9</v>
      </c>
      <c r="B570" s="433" t="s">
        <v>377</v>
      </c>
      <c r="C570" s="137">
        <f>'Office Minor'!C235</f>
        <v>0</v>
      </c>
      <c r="D570" s="137">
        <f>'Office Minor'!D235</f>
        <v>0</v>
      </c>
      <c r="E570" s="137">
        <f>'Office Minor'!E235</f>
        <v>11389</v>
      </c>
      <c r="F570" s="137">
        <f>'Office Minor'!F235</f>
        <v>9111200</v>
      </c>
      <c r="G570" s="137">
        <f>'Office Minor'!G235</f>
        <v>3169357</v>
      </c>
      <c r="H570" s="137">
        <f>'Office Minor'!H235</f>
        <v>15</v>
      </c>
      <c r="K570" s="432">
        <f t="shared" si="37"/>
        <v>800</v>
      </c>
    </row>
    <row r="571" spans="1:11" s="432" customFormat="1" ht="17.100000000000001" customHeight="1" x14ac:dyDescent="0.25">
      <c r="A571" s="166">
        <v>10</v>
      </c>
      <c r="B571" s="433" t="s">
        <v>110</v>
      </c>
      <c r="C571" s="456">
        <f>'Office Minor'!C278</f>
        <v>0</v>
      </c>
      <c r="D571" s="456">
        <f>'Office Minor'!D278</f>
        <v>0</v>
      </c>
      <c r="E571" s="456">
        <f>'Office Minor'!E278</f>
        <v>0</v>
      </c>
      <c r="F571" s="456">
        <f>'Office Minor'!F278</f>
        <v>0</v>
      </c>
      <c r="G571" s="456">
        <f>'Office Minor'!G278</f>
        <v>0</v>
      </c>
      <c r="H571" s="456">
        <f>'Office Minor'!H278</f>
        <v>0</v>
      </c>
      <c r="K571" s="432" t="e">
        <f t="shared" si="37"/>
        <v>#DIV/0!</v>
      </c>
    </row>
    <row r="572" spans="1:11" s="432" customFormat="1" ht="17.100000000000001" customHeight="1" x14ac:dyDescent="0.25">
      <c r="A572" s="166">
        <v>11</v>
      </c>
      <c r="B572" s="433" t="s">
        <v>134</v>
      </c>
      <c r="C572" s="456">
        <f>'Office Minor'!C290</f>
        <v>121</v>
      </c>
      <c r="D572" s="456">
        <f>'Office Minor'!D290</f>
        <v>233.8</v>
      </c>
      <c r="E572" s="456">
        <f>'Office Minor'!E290</f>
        <v>586644.89</v>
      </c>
      <c r="F572" s="456">
        <f>'Office Minor'!F290</f>
        <v>439983667.5</v>
      </c>
      <c r="G572" s="456">
        <f>'Office Minor'!G290</f>
        <v>46931591.200000003</v>
      </c>
      <c r="H572" s="456">
        <f>'Office Minor'!H290</f>
        <v>690</v>
      </c>
      <c r="K572" s="432">
        <f t="shared" si="37"/>
        <v>750</v>
      </c>
    </row>
    <row r="573" spans="1:11" s="432" customFormat="1" ht="17.100000000000001" customHeight="1" x14ac:dyDescent="0.25">
      <c r="A573" s="166">
        <v>12</v>
      </c>
      <c r="B573" s="433" t="s">
        <v>154</v>
      </c>
      <c r="C573" s="456">
        <f>'Office Minor'!C353</f>
        <v>5</v>
      </c>
      <c r="D573" s="456">
        <f>'Office Minor'!D353</f>
        <v>5</v>
      </c>
      <c r="E573" s="456">
        <f>'Office Minor'!E353</f>
        <v>2260</v>
      </c>
      <c r="F573" s="456">
        <f>'Office Minor'!F353</f>
        <v>1694669</v>
      </c>
      <c r="G573" s="456">
        <f>'Office Minor'!G353</f>
        <v>321987</v>
      </c>
      <c r="H573" s="456">
        <f>'Office Minor'!H353</f>
        <v>0</v>
      </c>
      <c r="K573" s="432">
        <f t="shared" si="37"/>
        <v>749.85353982300887</v>
      </c>
    </row>
    <row r="574" spans="1:11" s="432" customFormat="1" ht="17.100000000000001" customHeight="1" x14ac:dyDescent="0.25">
      <c r="A574" s="166">
        <v>13</v>
      </c>
      <c r="B574" s="433" t="s">
        <v>128</v>
      </c>
      <c r="C574" s="457">
        <f>'Office Minor'!C396</f>
        <v>34</v>
      </c>
      <c r="D574" s="457">
        <f>'Office Minor'!D396</f>
        <v>73.25</v>
      </c>
      <c r="E574" s="457">
        <f>'Office Minor'!E396</f>
        <v>5366</v>
      </c>
      <c r="F574" s="457">
        <f>'Office Minor'!F396</f>
        <v>4024500</v>
      </c>
      <c r="G574" s="457">
        <f>'Office Minor'!G396</f>
        <v>405646</v>
      </c>
      <c r="H574" s="457">
        <f>'Office Minor'!H396</f>
        <v>40</v>
      </c>
      <c r="I574" s="590"/>
      <c r="K574" s="432">
        <f t="shared" si="37"/>
        <v>750</v>
      </c>
    </row>
    <row r="575" spans="1:11" s="432" customFormat="1" ht="17.100000000000001" customHeight="1" x14ac:dyDescent="0.25">
      <c r="A575" s="166">
        <v>14</v>
      </c>
      <c r="B575" s="433" t="s">
        <v>118</v>
      </c>
      <c r="C575" s="63">
        <f>'Office Minor'!C433</f>
        <v>61</v>
      </c>
      <c r="D575" s="63">
        <f>'Office Minor'!D433</f>
        <v>61</v>
      </c>
      <c r="E575" s="63">
        <f>'Office Minor'!E433</f>
        <v>3839124</v>
      </c>
      <c r="F575" s="63">
        <f>'Office Minor'!F433</f>
        <v>2879343188</v>
      </c>
      <c r="G575" s="63">
        <f>'Office Minor'!G433</f>
        <v>1342529000</v>
      </c>
      <c r="H575" s="63">
        <f>'Office Minor'!H433</f>
        <v>10598</v>
      </c>
      <c r="K575" s="432">
        <f t="shared" si="37"/>
        <v>750.00004896950452</v>
      </c>
    </row>
    <row r="576" spans="1:11" s="432" customFormat="1" ht="17.100000000000001" customHeight="1" x14ac:dyDescent="0.25">
      <c r="A576" s="166">
        <v>15</v>
      </c>
      <c r="B576" s="433" t="s">
        <v>136</v>
      </c>
      <c r="C576" s="137">
        <f>'Office Minor'!C445</f>
        <v>98</v>
      </c>
      <c r="D576" s="137">
        <f>'Office Minor'!D445</f>
        <v>2402.69</v>
      </c>
      <c r="E576" s="137">
        <f>'Office Minor'!E445</f>
        <v>419479</v>
      </c>
      <c r="F576" s="137">
        <f>'Office Minor'!F445</f>
        <v>188765550</v>
      </c>
      <c r="G576" s="137">
        <f>'Office Minor'!G445</f>
        <v>8141938</v>
      </c>
      <c r="H576" s="137">
        <f>'Office Minor'!H445</f>
        <v>34</v>
      </c>
      <c r="K576" s="432">
        <f t="shared" si="37"/>
        <v>450</v>
      </c>
    </row>
    <row r="577" spans="1:11" s="432" customFormat="1" ht="17.100000000000001" customHeight="1" x14ac:dyDescent="0.25">
      <c r="A577" s="166">
        <v>16</v>
      </c>
      <c r="B577" s="433" t="s">
        <v>119</v>
      </c>
      <c r="C577" s="198">
        <f>'Office Minor'!C463</f>
        <v>6</v>
      </c>
      <c r="D577" s="198">
        <f>'Office Minor'!D463</f>
        <v>10</v>
      </c>
      <c r="E577" s="198">
        <f>'Office Minor'!E463</f>
        <v>43284</v>
      </c>
      <c r="F577" s="198">
        <f>'Office Minor'!F463</f>
        <v>32463918</v>
      </c>
      <c r="G577" s="198">
        <f>'Office Minor'!G463</f>
        <v>3154204</v>
      </c>
      <c r="H577" s="198">
        <f>'Office Minor'!H463</f>
        <v>14</v>
      </c>
      <c r="K577" s="432">
        <f t="shared" si="37"/>
        <v>750.02120876074298</v>
      </c>
    </row>
    <row r="578" spans="1:11" s="432" customFormat="1" ht="17.100000000000001" customHeight="1" x14ac:dyDescent="0.25">
      <c r="A578" s="166">
        <v>17</v>
      </c>
      <c r="B578" s="433" t="s">
        <v>107</v>
      </c>
      <c r="C578" s="203">
        <f>'Office Minor'!C514</f>
        <v>0</v>
      </c>
      <c r="D578" s="203">
        <f>'Office Minor'!D514</f>
        <v>0</v>
      </c>
      <c r="E578" s="203">
        <f>'Office Minor'!E514</f>
        <v>417275</v>
      </c>
      <c r="F578" s="203">
        <f>'Office Minor'!F514</f>
        <v>312956340</v>
      </c>
      <c r="G578" s="203">
        <f>'Office Minor'!G514</f>
        <v>23404217</v>
      </c>
      <c r="H578" s="203">
        <f>'Office Minor'!H514</f>
        <v>350</v>
      </c>
      <c r="K578" s="432">
        <f t="shared" si="37"/>
        <v>750.00021568509976</v>
      </c>
    </row>
    <row r="579" spans="1:11" s="432" customFormat="1" ht="17.100000000000001" customHeight="1" x14ac:dyDescent="0.25">
      <c r="A579" s="166">
        <v>18</v>
      </c>
      <c r="B579" s="19" t="s">
        <v>389</v>
      </c>
      <c r="C579" s="166">
        <f>'Office Minor'!C642</f>
        <v>74</v>
      </c>
      <c r="D579" s="166">
        <f>'Office Minor'!D642</f>
        <v>550.87</v>
      </c>
      <c r="E579" s="166">
        <f>'Office Minor'!E642</f>
        <v>335881</v>
      </c>
      <c r="F579" s="166">
        <f>'Office Minor'!F642</f>
        <v>251910750</v>
      </c>
      <c r="G579" s="166">
        <f>'Office Minor'!G642</f>
        <v>26870480</v>
      </c>
      <c r="H579" s="166">
        <f>'Office Minor'!H642</f>
        <v>350</v>
      </c>
      <c r="K579" s="432">
        <f t="shared" si="37"/>
        <v>750</v>
      </c>
    </row>
    <row r="580" spans="1:11" s="432" customFormat="1" ht="17.100000000000001" customHeight="1" x14ac:dyDescent="0.25">
      <c r="A580" s="166">
        <v>19</v>
      </c>
      <c r="B580" s="433" t="s">
        <v>120</v>
      </c>
      <c r="C580" s="204">
        <f>'Office Minor'!C618</f>
        <v>1</v>
      </c>
      <c r="D580" s="204">
        <f>'Office Minor'!D618</f>
        <v>0.72</v>
      </c>
      <c r="E580" s="204">
        <f>'Office Minor'!E618</f>
        <v>0</v>
      </c>
      <c r="F580" s="204">
        <f>'Office Minor'!F618</f>
        <v>0</v>
      </c>
      <c r="G580" s="204">
        <f>'Office Minor'!G618</f>
        <v>0</v>
      </c>
      <c r="H580" s="204">
        <f>'Office Minor'!H618</f>
        <v>0</v>
      </c>
      <c r="I580" s="590"/>
      <c r="K580" s="432" t="e">
        <f t="shared" si="37"/>
        <v>#DIV/0!</v>
      </c>
    </row>
    <row r="581" spans="1:11" s="432" customFormat="1" ht="17.100000000000001" customHeight="1" x14ac:dyDescent="0.25">
      <c r="A581" s="1136" t="s">
        <v>50</v>
      </c>
      <c r="B581" s="1137"/>
      <c r="C581" s="258">
        <f>SUM(C562:C580)</f>
        <v>1018</v>
      </c>
      <c r="D581" s="428">
        <f t="shared" ref="D581:H581" si="41">SUM(D562:D580)</f>
        <v>4874.1432999999997</v>
      </c>
      <c r="E581" s="430">
        <f t="shared" si="41"/>
        <v>12362139.210000001</v>
      </c>
      <c r="F581" s="258">
        <f t="shared" si="41"/>
        <v>10591490732.5</v>
      </c>
      <c r="G581" s="430">
        <f>SUM(G562:G580)</f>
        <v>3266249252.1999998</v>
      </c>
      <c r="H581" s="430">
        <f t="shared" si="41"/>
        <v>39333</v>
      </c>
      <c r="K581" s="432">
        <f t="shared" si="37"/>
        <v>856.76844052462332</v>
      </c>
    </row>
    <row r="582" spans="1:11" s="432" customFormat="1" ht="17.100000000000001" customHeight="1" x14ac:dyDescent="0.25">
      <c r="A582" s="21"/>
      <c r="B582" s="21"/>
      <c r="C582" s="21"/>
      <c r="D582" s="21"/>
      <c r="E582" s="21"/>
      <c r="F582" s="21"/>
      <c r="G582" s="21"/>
      <c r="H582" s="21"/>
      <c r="K582" s="432" t="e">
        <f t="shared" si="37"/>
        <v>#DIV/0!</v>
      </c>
    </row>
    <row r="583" spans="1:11" s="432" customFormat="1" ht="17.100000000000001" customHeight="1" x14ac:dyDescent="0.25">
      <c r="A583" s="1149" t="s">
        <v>72</v>
      </c>
      <c r="B583" s="1149"/>
      <c r="C583" s="1149"/>
      <c r="D583" s="1149"/>
      <c r="E583" s="1149"/>
      <c r="F583" s="1149"/>
      <c r="G583" s="1149"/>
      <c r="H583" s="1149"/>
      <c r="K583" s="432" t="e">
        <f t="shared" si="37"/>
        <v>#DIV/0!</v>
      </c>
    </row>
    <row r="584" spans="1:11" s="432" customFormat="1" ht="17.100000000000001" customHeight="1" x14ac:dyDescent="0.25">
      <c r="A584" s="1122" t="s">
        <v>2</v>
      </c>
      <c r="B584" s="1124" t="s">
        <v>77</v>
      </c>
      <c r="C584" s="249" t="s">
        <v>4</v>
      </c>
      <c r="D584" s="249" t="s">
        <v>5</v>
      </c>
      <c r="E584" s="249" t="s">
        <v>6</v>
      </c>
      <c r="F584" s="249" t="s">
        <v>7</v>
      </c>
      <c r="G584" s="249" t="s">
        <v>8</v>
      </c>
      <c r="H584" s="249" t="s">
        <v>9</v>
      </c>
      <c r="K584" s="432" t="e">
        <f t="shared" ref="K584:K647" si="42">F584/E584</f>
        <v>#VALUE!</v>
      </c>
    </row>
    <row r="585" spans="1:11" s="432" customFormat="1" ht="17.100000000000001" customHeight="1" x14ac:dyDescent="0.25">
      <c r="A585" s="1123"/>
      <c r="B585" s="1125"/>
      <c r="C585" s="2" t="s">
        <v>10</v>
      </c>
      <c r="D585" s="2" t="s">
        <v>52</v>
      </c>
      <c r="E585" s="2" t="s">
        <v>79</v>
      </c>
      <c r="F585" s="52" t="s">
        <v>80</v>
      </c>
      <c r="G585" s="52" t="s">
        <v>80</v>
      </c>
      <c r="H585" s="2" t="s">
        <v>13</v>
      </c>
      <c r="K585" s="432" t="e">
        <f t="shared" si="42"/>
        <v>#VALUE!</v>
      </c>
    </row>
    <row r="586" spans="1:11" s="432" customFormat="1" ht="17.100000000000001" customHeight="1" x14ac:dyDescent="0.25">
      <c r="A586" s="166">
        <v>1</v>
      </c>
      <c r="B586" s="433" t="s">
        <v>153</v>
      </c>
      <c r="C586" s="137">
        <f>'Office Minor'!C301</f>
        <v>74</v>
      </c>
      <c r="D586" s="137">
        <f>'Office Minor'!D301</f>
        <v>102.2</v>
      </c>
      <c r="E586" s="137">
        <f>'Office Minor'!E301</f>
        <v>121112.46</v>
      </c>
      <c r="F586" s="137">
        <f>'Office Minor'!F301</f>
        <v>181668690</v>
      </c>
      <c r="G586" s="137">
        <f>'Office Minor'!G301</f>
        <v>50372705</v>
      </c>
      <c r="H586" s="137">
        <f>'Office Minor'!H301</f>
        <v>405</v>
      </c>
      <c r="K586" s="432">
        <f t="shared" si="42"/>
        <v>1500</v>
      </c>
    </row>
    <row r="587" spans="1:11" s="432" customFormat="1" ht="17.100000000000001" customHeight="1" x14ac:dyDescent="0.25">
      <c r="A587" s="166">
        <v>2</v>
      </c>
      <c r="B587" s="433" t="s">
        <v>127</v>
      </c>
      <c r="C587" s="137">
        <f>'Office Minor'!C630</f>
        <v>118</v>
      </c>
      <c r="D587" s="137">
        <f>'Office Minor'!D630</f>
        <v>134.83000000000001</v>
      </c>
      <c r="E587" s="137">
        <f>'Office Minor'!E630</f>
        <v>329437</v>
      </c>
      <c r="F587" s="137">
        <f>'Office Minor'!F630</f>
        <v>477683650</v>
      </c>
      <c r="G587" s="137">
        <f>'Office Minor'!G630</f>
        <v>105419939</v>
      </c>
      <c r="H587" s="137">
        <f>'Office Minor'!H630</f>
        <v>1800</v>
      </c>
      <c r="K587" s="432">
        <f t="shared" si="42"/>
        <v>1450</v>
      </c>
    </row>
    <row r="588" spans="1:11" s="432" customFormat="1" ht="17.100000000000001" customHeight="1" x14ac:dyDescent="0.25">
      <c r="A588" s="166">
        <v>3</v>
      </c>
      <c r="B588" s="433" t="s">
        <v>83</v>
      </c>
      <c r="C588" s="137">
        <f>'Office Minor'!C800</f>
        <v>14</v>
      </c>
      <c r="D588" s="137">
        <f>'Office Minor'!D800</f>
        <v>24.9</v>
      </c>
      <c r="E588" s="137">
        <f>'Office Minor'!E800</f>
        <v>9922</v>
      </c>
      <c r="F588" s="137">
        <f>'Office Minor'!F800</f>
        <v>14386900</v>
      </c>
      <c r="G588" s="137">
        <f>'Office Minor'!G800</f>
        <v>923072</v>
      </c>
      <c r="H588" s="137">
        <f>'Office Minor'!H800</f>
        <v>123</v>
      </c>
      <c r="K588" s="432">
        <f t="shared" si="42"/>
        <v>1450</v>
      </c>
    </row>
    <row r="589" spans="1:11" s="432" customFormat="1" ht="17.100000000000001" customHeight="1" x14ac:dyDescent="0.25">
      <c r="A589" s="1136" t="s">
        <v>50</v>
      </c>
      <c r="B589" s="1137"/>
      <c r="C589" s="258">
        <f>SUM(C586:C588)</f>
        <v>206</v>
      </c>
      <c r="D589" s="429">
        <f t="shared" ref="D589:H589" si="43">SUM(D586:D588)</f>
        <v>261.93</v>
      </c>
      <c r="E589" s="430">
        <f t="shared" si="43"/>
        <v>460471.46</v>
      </c>
      <c r="F589" s="258">
        <f t="shared" si="43"/>
        <v>673739240</v>
      </c>
      <c r="G589" s="430">
        <f>SUM(G586:G588)</f>
        <v>156715716</v>
      </c>
      <c r="H589" s="430">
        <f t="shared" si="43"/>
        <v>2328</v>
      </c>
      <c r="K589" s="432">
        <f t="shared" si="42"/>
        <v>1463.1509192773858</v>
      </c>
    </row>
    <row r="590" spans="1:11" s="432" customFormat="1" ht="17.100000000000001" customHeight="1" x14ac:dyDescent="0.25">
      <c r="A590" s="21"/>
      <c r="B590" s="21"/>
      <c r="C590" s="21"/>
      <c r="D590" s="21"/>
      <c r="E590" s="21"/>
      <c r="F590" s="21"/>
      <c r="G590" s="21"/>
      <c r="H590" s="21"/>
      <c r="K590" s="432" t="e">
        <f t="shared" si="42"/>
        <v>#DIV/0!</v>
      </c>
    </row>
    <row r="591" spans="1:11" s="432" customFormat="1" ht="17.100000000000001" customHeight="1" x14ac:dyDescent="0.25">
      <c r="A591" s="1138" t="s">
        <v>44</v>
      </c>
      <c r="B591" s="1138"/>
      <c r="C591" s="1138"/>
      <c r="D591" s="1138"/>
      <c r="E591" s="1138"/>
      <c r="F591" s="1138"/>
      <c r="G591" s="1138"/>
      <c r="H591" s="1138"/>
      <c r="K591" s="432" t="e">
        <f t="shared" si="42"/>
        <v>#DIV/0!</v>
      </c>
    </row>
    <row r="592" spans="1:11" s="432" customFormat="1" ht="17.100000000000001" customHeight="1" x14ac:dyDescent="0.25">
      <c r="A592" s="1122" t="s">
        <v>2</v>
      </c>
      <c r="B592" s="1124" t="s">
        <v>77</v>
      </c>
      <c r="C592" s="249" t="s">
        <v>4</v>
      </c>
      <c r="D592" s="249" t="s">
        <v>5</v>
      </c>
      <c r="E592" s="249" t="s">
        <v>6</v>
      </c>
      <c r="F592" s="249" t="s">
        <v>7</v>
      </c>
      <c r="G592" s="249" t="s">
        <v>8</v>
      </c>
      <c r="H592" s="249" t="s">
        <v>9</v>
      </c>
      <c r="K592" s="432" t="e">
        <f t="shared" si="42"/>
        <v>#VALUE!</v>
      </c>
    </row>
    <row r="593" spans="1:11" s="432" customFormat="1" ht="17.100000000000001" customHeight="1" x14ac:dyDescent="0.25">
      <c r="A593" s="1123"/>
      <c r="B593" s="1125"/>
      <c r="C593" s="2" t="s">
        <v>10</v>
      </c>
      <c r="D593" s="2" t="s">
        <v>78</v>
      </c>
      <c r="E593" s="2" t="s">
        <v>79</v>
      </c>
      <c r="F593" s="52" t="s">
        <v>80</v>
      </c>
      <c r="G593" s="52" t="s">
        <v>80</v>
      </c>
      <c r="H593" s="2" t="s">
        <v>13</v>
      </c>
      <c r="K593" s="432" t="e">
        <f t="shared" si="42"/>
        <v>#VALUE!</v>
      </c>
    </row>
    <row r="594" spans="1:11" s="432" customFormat="1" ht="17.100000000000001" customHeight="1" x14ac:dyDescent="0.25">
      <c r="A594" s="166">
        <v>1</v>
      </c>
      <c r="B594" s="214" t="s">
        <v>86</v>
      </c>
      <c r="C594" s="166">
        <f>'Office Minor'!C51</f>
        <v>2</v>
      </c>
      <c r="D594" s="166">
        <f>'Office Minor'!D51</f>
        <v>24.05</v>
      </c>
      <c r="E594" s="166">
        <f>'Office Minor'!E51</f>
        <v>9618</v>
      </c>
      <c r="F594" s="166">
        <f>'Office Minor'!F51</f>
        <v>5193720</v>
      </c>
      <c r="G594" s="166">
        <f>'Office Minor'!G51</f>
        <v>903244</v>
      </c>
      <c r="H594" s="166">
        <f>'Office Minor'!H51</f>
        <v>25</v>
      </c>
      <c r="K594" s="432">
        <f t="shared" si="42"/>
        <v>540</v>
      </c>
    </row>
    <row r="595" spans="1:11" s="432" customFormat="1" ht="17.100000000000001" customHeight="1" x14ac:dyDescent="0.25">
      <c r="A595" s="166">
        <v>2</v>
      </c>
      <c r="B595" s="214" t="s">
        <v>151</v>
      </c>
      <c r="C595" s="166">
        <f>'Office Minor'!C112</f>
        <v>9</v>
      </c>
      <c r="D595" s="166">
        <f>'Office Minor'!D112</f>
        <v>40.5</v>
      </c>
      <c r="E595" s="166">
        <f>'Office Minor'!E112</f>
        <v>383538</v>
      </c>
      <c r="F595" s="166">
        <f>'Office Minor'!F112</f>
        <v>191769410</v>
      </c>
      <c r="G595" s="166">
        <f>'Office Minor'!G112</f>
        <v>3394671</v>
      </c>
      <c r="H595" s="166">
        <f>'Office Minor'!H112</f>
        <v>35</v>
      </c>
      <c r="K595" s="432">
        <f t="shared" si="42"/>
        <v>500.00106899446729</v>
      </c>
    </row>
    <row r="596" spans="1:11" s="432" customFormat="1" ht="17.100000000000001" customHeight="1" x14ac:dyDescent="0.25">
      <c r="A596" s="166">
        <v>3</v>
      </c>
      <c r="B596" s="214" t="s">
        <v>81</v>
      </c>
      <c r="C596" s="166">
        <f>'Office Minor'!C184</f>
        <v>1</v>
      </c>
      <c r="D596" s="166">
        <f>'Office Minor'!D184</f>
        <v>5</v>
      </c>
      <c r="E596" s="166">
        <f>'Office Minor'!E184</f>
        <v>12718</v>
      </c>
      <c r="F596" s="166">
        <f>'Office Minor'!F184</f>
        <v>6867720</v>
      </c>
      <c r="G596" s="166">
        <f>'Office Minor'!G184</f>
        <v>2255561</v>
      </c>
      <c r="H596" s="166">
        <f>'Office Minor'!H184</f>
        <v>7</v>
      </c>
      <c r="K596" s="432">
        <f t="shared" si="42"/>
        <v>540</v>
      </c>
    </row>
    <row r="597" spans="1:11" s="432" customFormat="1" ht="17.100000000000001" customHeight="1" x14ac:dyDescent="0.25">
      <c r="A597" s="166">
        <v>4</v>
      </c>
      <c r="B597" s="214" t="s">
        <v>113</v>
      </c>
      <c r="C597" s="166">
        <f>'Office Minor'!C159</f>
        <v>3</v>
      </c>
      <c r="D597" s="166">
        <f>'Office Minor'!D159</f>
        <v>14.054</v>
      </c>
      <c r="E597" s="166">
        <f>'Office Minor'!E159</f>
        <v>377.65</v>
      </c>
      <c r="F597" s="166">
        <f>'Office Minor'!F159</f>
        <v>203931</v>
      </c>
      <c r="G597" s="166">
        <f>'Office Minor'!G159</f>
        <v>53719</v>
      </c>
      <c r="H597" s="166">
        <f>'Office Minor'!H159</f>
        <v>10</v>
      </c>
      <c r="K597" s="432">
        <f t="shared" si="42"/>
        <v>540</v>
      </c>
    </row>
    <row r="598" spans="1:11" s="432" customFormat="1" ht="17.100000000000001" customHeight="1" x14ac:dyDescent="0.25">
      <c r="A598" s="166">
        <v>5</v>
      </c>
      <c r="B598" s="214" t="s">
        <v>103</v>
      </c>
      <c r="C598" s="204">
        <f>'Office Minor'!C222</f>
        <v>1</v>
      </c>
      <c r="D598" s="204">
        <f>'Office Minor'!D222</f>
        <v>59.5</v>
      </c>
      <c r="E598" s="204">
        <f>'Office Minor'!E222</f>
        <v>0</v>
      </c>
      <c r="F598" s="204">
        <f>'Office Minor'!F222</f>
        <v>0</v>
      </c>
      <c r="G598" s="204" t="str">
        <f>'Office Minor'!G222</f>
        <v xml:space="preserve"> </v>
      </c>
      <c r="H598" s="204">
        <f>'Office Minor'!H222</f>
        <v>0</v>
      </c>
      <c r="K598" s="432" t="e">
        <f t="shared" si="42"/>
        <v>#DIV/0!</v>
      </c>
    </row>
    <row r="599" spans="1:11" s="432" customFormat="1" ht="17.100000000000001" customHeight="1" x14ac:dyDescent="0.25">
      <c r="A599" s="166">
        <v>6</v>
      </c>
      <c r="B599" s="214" t="s">
        <v>104</v>
      </c>
      <c r="C599" s="137">
        <f>'Office Minor'!C257</f>
        <v>5</v>
      </c>
      <c r="D599" s="137">
        <f>'Office Minor'!D257</f>
        <v>100</v>
      </c>
      <c r="E599" s="137">
        <f>'Office Minor'!E257</f>
        <v>254</v>
      </c>
      <c r="F599" s="137">
        <f>'Office Minor'!F257</f>
        <v>127000</v>
      </c>
      <c r="G599" s="137">
        <f>'Office Minor'!G257</f>
        <v>62577192</v>
      </c>
      <c r="H599" s="137">
        <f>'Office Minor'!H257</f>
        <v>107</v>
      </c>
      <c r="K599" s="432">
        <f t="shared" si="42"/>
        <v>500</v>
      </c>
    </row>
    <row r="600" spans="1:11" s="432" customFormat="1" ht="17.100000000000001" customHeight="1" x14ac:dyDescent="0.25">
      <c r="A600" s="166">
        <v>7</v>
      </c>
      <c r="B600" s="214" t="s">
        <v>110</v>
      </c>
      <c r="C600" s="166">
        <f>'Office Minor'!C280</f>
        <v>6</v>
      </c>
      <c r="D600" s="166">
        <f>'Office Minor'!D280</f>
        <v>115.15</v>
      </c>
      <c r="E600" s="166">
        <f>'Office Minor'!E280</f>
        <v>527111</v>
      </c>
      <c r="F600" s="166">
        <f>'Office Minor'!F280</f>
        <v>289911050</v>
      </c>
      <c r="G600" s="166">
        <f>'Office Minor'!G280</f>
        <v>48531485</v>
      </c>
      <c r="H600" s="166">
        <f>'Office Minor'!H280</f>
        <v>150</v>
      </c>
      <c r="K600" s="432">
        <f t="shared" si="42"/>
        <v>550</v>
      </c>
    </row>
    <row r="601" spans="1:11" s="432" customFormat="1" ht="17.100000000000001" customHeight="1" x14ac:dyDescent="0.25">
      <c r="A601" s="166">
        <v>8</v>
      </c>
      <c r="B601" s="214" t="s">
        <v>87</v>
      </c>
      <c r="C601" s="166">
        <f>'Office Minor'!C367</f>
        <v>2</v>
      </c>
      <c r="D601" s="166">
        <f>'Office Minor'!D367</f>
        <v>29.35</v>
      </c>
      <c r="E601" s="166">
        <f>'Office Minor'!E367</f>
        <v>6468.63</v>
      </c>
      <c r="F601" s="166">
        <f>'Office Minor'!F367</f>
        <v>2587452</v>
      </c>
      <c r="G601" s="166">
        <f>'Office Minor'!G367</f>
        <v>4184623.45</v>
      </c>
      <c r="H601" s="166">
        <f>'Office Minor'!H367</f>
        <v>55</v>
      </c>
      <c r="K601" s="432">
        <f t="shared" si="42"/>
        <v>400</v>
      </c>
    </row>
    <row r="602" spans="1:11" s="432" customFormat="1" ht="17.100000000000001" customHeight="1" x14ac:dyDescent="0.25">
      <c r="A602" s="166">
        <v>9</v>
      </c>
      <c r="B602" s="214" t="s">
        <v>154</v>
      </c>
      <c r="C602" s="166">
        <f>'Office Minor'!C346</f>
        <v>56</v>
      </c>
      <c r="D602" s="166">
        <f>'Office Minor'!D346</f>
        <v>284.76</v>
      </c>
      <c r="E602" s="166">
        <f>'Office Minor'!E346</f>
        <v>197250.61</v>
      </c>
      <c r="F602" s="166">
        <f>'Office Minor'!F346</f>
        <v>106515329.39999999</v>
      </c>
      <c r="G602" s="166">
        <f>'Office Minor'!G346</f>
        <v>20588195</v>
      </c>
      <c r="H602" s="166">
        <f>'Office Minor'!H346</f>
        <v>28</v>
      </c>
      <c r="K602" s="432">
        <f t="shared" si="42"/>
        <v>540</v>
      </c>
    </row>
    <row r="603" spans="1:11" s="432" customFormat="1" ht="17.100000000000001" customHeight="1" x14ac:dyDescent="0.25">
      <c r="A603" s="166">
        <v>10</v>
      </c>
      <c r="B603" s="214" t="s">
        <v>88</v>
      </c>
      <c r="C603" s="611">
        <f>'Office Minor'!C489</f>
        <v>3</v>
      </c>
      <c r="D603" s="611">
        <f>'Office Minor'!D489</f>
        <v>168.04</v>
      </c>
      <c r="E603" s="611">
        <f>'Office Minor'!E489</f>
        <v>5144</v>
      </c>
      <c r="F603" s="611">
        <f>'Office Minor'!F489</f>
        <v>2937910</v>
      </c>
      <c r="G603" s="611">
        <f>'Office Minor'!G489</f>
        <v>587582</v>
      </c>
      <c r="H603" s="611">
        <f>'Office Minor'!H489</f>
        <v>40</v>
      </c>
      <c r="K603" s="432">
        <f t="shared" si="42"/>
        <v>571.13335925349918</v>
      </c>
    </row>
    <row r="604" spans="1:11" s="432" customFormat="1" ht="17.100000000000001" customHeight="1" x14ac:dyDescent="0.25">
      <c r="A604" s="166">
        <v>11</v>
      </c>
      <c r="B604" s="433" t="s">
        <v>136</v>
      </c>
      <c r="C604" s="196">
        <f>'Office Minor'!C451</f>
        <v>38</v>
      </c>
      <c r="D604" s="196">
        <f>'Office Minor'!D451</f>
        <v>635.41</v>
      </c>
      <c r="E604" s="196">
        <f>'Office Minor'!E451</f>
        <v>315509</v>
      </c>
      <c r="F604" s="196">
        <f>'Office Minor'!F451</f>
        <v>189305400</v>
      </c>
      <c r="G604" s="196">
        <f>'Office Minor'!G451</f>
        <v>329297191</v>
      </c>
      <c r="H604" s="196">
        <f>'Office Minor'!H451</f>
        <v>140</v>
      </c>
      <c r="K604" s="432">
        <f t="shared" si="42"/>
        <v>600</v>
      </c>
    </row>
    <row r="605" spans="1:11" s="432" customFormat="1" ht="17.100000000000001" customHeight="1" x14ac:dyDescent="0.25">
      <c r="A605" s="166">
        <v>12</v>
      </c>
      <c r="B605" s="433" t="s">
        <v>89</v>
      </c>
      <c r="C605" s="196">
        <f>'Office Minor'!C539</f>
        <v>3</v>
      </c>
      <c r="D605" s="196">
        <f>'Office Minor'!D539</f>
        <v>13.84</v>
      </c>
      <c r="E605" s="196">
        <f>'Office Minor'!E539</f>
        <v>689175</v>
      </c>
      <c r="F605" s="196">
        <f>'Office Minor'!F539</f>
        <v>372154500.00000006</v>
      </c>
      <c r="G605" s="196">
        <f>'Office Minor'!G539</f>
        <v>3707030</v>
      </c>
      <c r="H605" s="196">
        <f>'Office Minor'!H539</f>
        <v>15</v>
      </c>
      <c r="K605" s="432">
        <f t="shared" si="42"/>
        <v>540.00000000000011</v>
      </c>
    </row>
    <row r="606" spans="1:11" s="432" customFormat="1" ht="17.100000000000001" customHeight="1" x14ac:dyDescent="0.25">
      <c r="A606" s="166">
        <v>13</v>
      </c>
      <c r="B606" s="19" t="s">
        <v>389</v>
      </c>
      <c r="C606" s="196">
        <f>'Office Minor'!C645</f>
        <v>11</v>
      </c>
      <c r="D606" s="196">
        <f>'Office Minor'!D645</f>
        <v>367.7</v>
      </c>
      <c r="E606" s="196">
        <f>'Office Minor'!E645</f>
        <v>477526</v>
      </c>
      <c r="F606" s="196">
        <f>'Office Minor'!F645</f>
        <v>257864040</v>
      </c>
      <c r="G606" s="196">
        <f>'Office Minor'!G645</f>
        <v>42022288</v>
      </c>
      <c r="H606" s="196">
        <f>'Office Minor'!H645</f>
        <v>250</v>
      </c>
      <c r="K606" s="432">
        <f t="shared" si="42"/>
        <v>540</v>
      </c>
    </row>
    <row r="607" spans="1:11" s="432" customFormat="1" ht="17.100000000000001" customHeight="1" x14ac:dyDescent="0.25">
      <c r="A607" s="166">
        <v>14</v>
      </c>
      <c r="B607" s="214" t="s">
        <v>90</v>
      </c>
      <c r="C607" s="196">
        <f>'Office Minor'!C608</f>
        <v>1</v>
      </c>
      <c r="D607" s="196">
        <f>'Office Minor'!D608</f>
        <v>4.2</v>
      </c>
      <c r="E607" s="196">
        <f>'Office Minor'!E608</f>
        <v>484340.90909090912</v>
      </c>
      <c r="F607" s="196">
        <f>'Office Minor'!F608</f>
        <v>251857272.72727275</v>
      </c>
      <c r="G607" s="196">
        <f>'Office Minor'!G608</f>
        <v>42622000</v>
      </c>
      <c r="H607" s="196">
        <f>'Office Minor'!H608</f>
        <v>109</v>
      </c>
      <c r="K607" s="432">
        <f t="shared" si="42"/>
        <v>520</v>
      </c>
    </row>
    <row r="608" spans="1:11" s="432" customFormat="1" ht="17.100000000000001" customHeight="1" x14ac:dyDescent="0.25">
      <c r="A608" s="166">
        <v>15</v>
      </c>
      <c r="B608" s="214" t="s">
        <v>100</v>
      </c>
      <c r="C608" s="196">
        <f>'Office Minor'!C721</f>
        <v>10</v>
      </c>
      <c r="D608" s="196">
        <f>'Office Minor'!D721</f>
        <v>100</v>
      </c>
      <c r="E608" s="196">
        <f>'Office Minor'!E721</f>
        <v>34349</v>
      </c>
      <c r="F608" s="196">
        <f>'Office Minor'!F721</f>
        <v>18548794</v>
      </c>
      <c r="G608" s="196">
        <f>'Office Minor'!G721</f>
        <v>3623898</v>
      </c>
      <c r="H608" s="196">
        <f>'Office Minor'!H721</f>
        <v>100</v>
      </c>
      <c r="K608" s="432">
        <f t="shared" si="42"/>
        <v>540.00972371830335</v>
      </c>
    </row>
    <row r="609" spans="1:11" s="432" customFormat="1" ht="17.100000000000001" customHeight="1" x14ac:dyDescent="0.25">
      <c r="A609" s="166">
        <v>16</v>
      </c>
      <c r="B609" s="214" t="s">
        <v>116</v>
      </c>
      <c r="C609" s="206">
        <f>'Office Minor'!C783</f>
        <v>9</v>
      </c>
      <c r="D609" s="206">
        <f>'Office Minor'!D783</f>
        <v>77.31</v>
      </c>
      <c r="E609" s="206">
        <f>'Office Minor'!E783</f>
        <v>31880</v>
      </c>
      <c r="F609" s="206">
        <f>'Office Minor'!F783</f>
        <v>17215200</v>
      </c>
      <c r="G609" s="206">
        <f>'Office Minor'!G783</f>
        <v>3506800</v>
      </c>
      <c r="H609" s="206">
        <f>'Office Minor'!H783</f>
        <v>30</v>
      </c>
      <c r="K609" s="432">
        <f t="shared" si="42"/>
        <v>540</v>
      </c>
    </row>
    <row r="610" spans="1:11" s="432" customFormat="1" ht="17.100000000000001" customHeight="1" x14ac:dyDescent="0.25">
      <c r="A610" s="166">
        <v>17</v>
      </c>
      <c r="B610" s="445" t="s">
        <v>83</v>
      </c>
      <c r="C610" s="166">
        <f>'Office Minor'!C809</f>
        <v>0</v>
      </c>
      <c r="D610" s="166">
        <f>'Office Minor'!D809</f>
        <v>0</v>
      </c>
      <c r="E610" s="166">
        <f>'Office Minor'!E809</f>
        <v>0</v>
      </c>
      <c r="F610" s="166">
        <f>'Office Minor'!F809</f>
        <v>0</v>
      </c>
      <c r="G610" s="166">
        <f>'Office Minor'!G809</f>
        <v>0</v>
      </c>
      <c r="H610" s="166">
        <f>'Office Minor'!H809</f>
        <v>0</v>
      </c>
      <c r="K610" s="432" t="e">
        <f t="shared" si="42"/>
        <v>#DIV/0!</v>
      </c>
    </row>
    <row r="611" spans="1:11" s="432" customFormat="1" ht="17.100000000000001" customHeight="1" x14ac:dyDescent="0.25">
      <c r="A611" s="627">
        <v>18</v>
      </c>
      <c r="B611" s="445" t="s">
        <v>229</v>
      </c>
      <c r="C611" s="166">
        <f>'Office Minor'!C521</f>
        <v>9</v>
      </c>
      <c r="D611" s="166">
        <f>'Office Minor'!D521</f>
        <v>13.24</v>
      </c>
      <c r="E611" s="166">
        <f>'Office Minor'!E521</f>
        <v>97967</v>
      </c>
      <c r="F611" s="166">
        <f>'Office Minor'!F521</f>
        <v>52902347</v>
      </c>
      <c r="G611" s="166">
        <f>'Office Minor'!G521</f>
        <v>10044778</v>
      </c>
      <c r="H611" s="166">
        <f>'Office Minor'!H521</f>
        <v>90</v>
      </c>
      <c r="K611" s="432">
        <f t="shared" si="42"/>
        <v>540.00170465564941</v>
      </c>
    </row>
    <row r="612" spans="1:11" s="432" customFormat="1" ht="17.100000000000001" customHeight="1" x14ac:dyDescent="0.25">
      <c r="A612" s="627">
        <v>19</v>
      </c>
      <c r="B612" s="445" t="s">
        <v>140</v>
      </c>
      <c r="C612" s="166">
        <f>'Office Minor'!C95</f>
        <v>2</v>
      </c>
      <c r="D612" s="166">
        <f>'Office Minor'!D95</f>
        <v>2</v>
      </c>
      <c r="E612" s="166">
        <f>'Office Minor'!E95</f>
        <v>0</v>
      </c>
      <c r="F612" s="166">
        <f>'Office Minor'!F95</f>
        <v>0</v>
      </c>
      <c r="G612" s="166">
        <f>'Office Minor'!G95</f>
        <v>0</v>
      </c>
      <c r="H612" s="166">
        <f>'Office Minor'!H95</f>
        <v>0</v>
      </c>
      <c r="K612" s="432" t="e">
        <f t="shared" si="42"/>
        <v>#DIV/0!</v>
      </c>
    </row>
    <row r="613" spans="1:11" s="432" customFormat="1" ht="17.100000000000001" customHeight="1" x14ac:dyDescent="0.25">
      <c r="A613" s="1136" t="s">
        <v>50</v>
      </c>
      <c r="B613" s="1137"/>
      <c r="C613" s="259">
        <f>SUM(C594:C611)</f>
        <v>169</v>
      </c>
      <c r="D613" s="259">
        <f t="shared" ref="D613:H613" si="44">SUM(D594:D611)</f>
        <v>2052.1039999999998</v>
      </c>
      <c r="E613" s="259">
        <f t="shared" si="44"/>
        <v>3273226.7990909093</v>
      </c>
      <c r="F613" s="259">
        <f t="shared" si="44"/>
        <v>1765961076.1272728</v>
      </c>
      <c r="G613" s="259">
        <f t="shared" si="44"/>
        <v>577900257.45000005</v>
      </c>
      <c r="H613" s="259">
        <f t="shared" si="44"/>
        <v>1191</v>
      </c>
      <c r="K613" s="432">
        <f t="shared" si="42"/>
        <v>539.5168695972252</v>
      </c>
    </row>
    <row r="614" spans="1:11" s="432" customFormat="1" ht="17.100000000000001" customHeight="1" x14ac:dyDescent="0.25">
      <c r="A614" s="21"/>
      <c r="B614" s="21"/>
      <c r="C614" s="21"/>
      <c r="D614" s="21"/>
      <c r="E614" s="21"/>
      <c r="F614" s="21"/>
      <c r="G614" s="21"/>
      <c r="H614" s="21"/>
      <c r="K614" s="432" t="e">
        <f t="shared" si="42"/>
        <v>#DIV/0!</v>
      </c>
    </row>
    <row r="615" spans="1:11" s="432" customFormat="1" ht="17.100000000000001" customHeight="1" x14ac:dyDescent="0.25">
      <c r="A615" s="1149" t="s">
        <v>73</v>
      </c>
      <c r="B615" s="1149"/>
      <c r="C615" s="1149"/>
      <c r="D615" s="1149"/>
      <c r="E615" s="1149"/>
      <c r="F615" s="1149"/>
      <c r="G615" s="1149"/>
      <c r="H615" s="1149"/>
      <c r="K615" s="432" t="e">
        <f t="shared" si="42"/>
        <v>#DIV/0!</v>
      </c>
    </row>
    <row r="616" spans="1:11" s="432" customFormat="1" ht="17.100000000000001" customHeight="1" x14ac:dyDescent="0.25">
      <c r="A616" s="1122" t="s">
        <v>2</v>
      </c>
      <c r="B616" s="1124" t="s">
        <v>77</v>
      </c>
      <c r="C616" s="249" t="s">
        <v>4</v>
      </c>
      <c r="D616" s="249" t="s">
        <v>5</v>
      </c>
      <c r="E616" s="249" t="s">
        <v>6</v>
      </c>
      <c r="F616" s="249" t="s">
        <v>7</v>
      </c>
      <c r="G616" s="249" t="s">
        <v>8</v>
      </c>
      <c r="H616" s="249" t="s">
        <v>9</v>
      </c>
      <c r="K616" s="432" t="e">
        <f t="shared" si="42"/>
        <v>#VALUE!</v>
      </c>
    </row>
    <row r="617" spans="1:11" s="432" customFormat="1" ht="17.100000000000001" customHeight="1" x14ac:dyDescent="0.25">
      <c r="A617" s="1123"/>
      <c r="B617" s="1125"/>
      <c r="C617" s="2" t="s">
        <v>10</v>
      </c>
      <c r="D617" s="2" t="s">
        <v>52</v>
      </c>
      <c r="E617" s="2" t="s">
        <v>79</v>
      </c>
      <c r="F617" s="52" t="s">
        <v>80</v>
      </c>
      <c r="G617" s="52" t="s">
        <v>80</v>
      </c>
      <c r="H617" s="2" t="s">
        <v>13</v>
      </c>
      <c r="K617" s="432" t="e">
        <f t="shared" si="42"/>
        <v>#VALUE!</v>
      </c>
    </row>
    <row r="618" spans="1:11" s="432" customFormat="1" ht="17.100000000000001" customHeight="1" x14ac:dyDescent="0.25">
      <c r="A618" s="166">
        <v>1</v>
      </c>
      <c r="B618" s="433" t="s">
        <v>142</v>
      </c>
      <c r="C618" s="204">
        <f>'Office Minor'!C218</f>
        <v>0</v>
      </c>
      <c r="D618" s="204">
        <f>'Office Minor'!D218</f>
        <v>0</v>
      </c>
      <c r="E618" s="204">
        <f>'Office Minor'!E218</f>
        <v>0</v>
      </c>
      <c r="F618" s="204">
        <f>'Office Minor'!F218</f>
        <v>0</v>
      </c>
      <c r="G618" s="204">
        <f>'Office Minor'!G218</f>
        <v>0</v>
      </c>
      <c r="H618" s="204">
        <f>'Office Minor'!H218</f>
        <v>0</v>
      </c>
      <c r="K618" s="432" t="e">
        <f t="shared" si="42"/>
        <v>#DIV/0!</v>
      </c>
    </row>
    <row r="619" spans="1:11" s="432" customFormat="1" ht="17.100000000000001" customHeight="1" x14ac:dyDescent="0.25">
      <c r="A619" s="166">
        <v>2</v>
      </c>
      <c r="B619" s="433" t="s">
        <v>123</v>
      </c>
      <c r="C619" s="204">
        <f>'Office Minor'!C14</f>
        <v>2</v>
      </c>
      <c r="D619" s="204">
        <f>'Office Minor'!D14</f>
        <v>4.51</v>
      </c>
      <c r="E619" s="204">
        <f>'Office Minor'!E14</f>
        <v>7768</v>
      </c>
      <c r="F619" s="204">
        <f>'Office Minor'!F14</f>
        <v>15536000</v>
      </c>
      <c r="G619" s="204">
        <f>'Office Minor'!G14</f>
        <v>2101049</v>
      </c>
      <c r="H619" s="204">
        <f>'Office Minor'!H14</f>
        <v>45</v>
      </c>
      <c r="K619" s="432">
        <f t="shared" si="42"/>
        <v>2000</v>
      </c>
    </row>
    <row r="620" spans="1:11" s="432" customFormat="1" ht="17.100000000000001" customHeight="1" x14ac:dyDescent="0.25">
      <c r="A620" s="166">
        <v>3</v>
      </c>
      <c r="B620" s="433" t="s">
        <v>88</v>
      </c>
      <c r="C620" s="236">
        <f>'Office Minor'!C481</f>
        <v>9</v>
      </c>
      <c r="D620" s="236">
        <f>'Office Minor'!D481</f>
        <v>26.99</v>
      </c>
      <c r="E620" s="236">
        <f>'Office Minor'!E481</f>
        <v>656</v>
      </c>
      <c r="F620" s="236">
        <f>'Office Minor'!F481</f>
        <v>1313060</v>
      </c>
      <c r="G620" s="236">
        <f>'Office Minor'!G481</f>
        <v>443218</v>
      </c>
      <c r="H620" s="236">
        <f>'Office Minor'!H481</f>
        <v>10</v>
      </c>
      <c r="K620" s="432">
        <f t="shared" si="42"/>
        <v>2001.6158536585365</v>
      </c>
    </row>
    <row r="621" spans="1:11" s="432" customFormat="1" ht="17.100000000000001" customHeight="1" x14ac:dyDescent="0.25">
      <c r="A621" s="166">
        <v>4</v>
      </c>
      <c r="B621" s="433" t="s">
        <v>116</v>
      </c>
      <c r="C621" s="63">
        <f>'Office Minor'!C779</f>
        <v>2</v>
      </c>
      <c r="D621" s="63">
        <f>'Office Minor'!D779</f>
        <v>1.65</v>
      </c>
      <c r="E621" s="63">
        <f>'Office Minor'!E779</f>
        <v>0</v>
      </c>
      <c r="F621" s="63">
        <f>'Office Minor'!F779</f>
        <v>0</v>
      </c>
      <c r="G621" s="63">
        <f>'Office Minor'!G779</f>
        <v>0</v>
      </c>
      <c r="H621" s="63">
        <f>'Office Minor'!H779</f>
        <v>0</v>
      </c>
      <c r="K621" s="432" t="e">
        <f t="shared" si="42"/>
        <v>#DIV/0!</v>
      </c>
    </row>
    <row r="622" spans="1:11" s="432" customFormat="1" ht="17.100000000000001" customHeight="1" x14ac:dyDescent="0.25">
      <c r="A622" s="1136" t="s">
        <v>50</v>
      </c>
      <c r="B622" s="1137"/>
      <c r="C622" s="259">
        <f>SUM(C618:C621)</f>
        <v>13</v>
      </c>
      <c r="D622" s="406">
        <f>SUM(D618:D621)</f>
        <v>33.15</v>
      </c>
      <c r="E622" s="261">
        <f t="shared" ref="E622:H622" si="45">SUM(E618:E621)</f>
        <v>8424</v>
      </c>
      <c r="F622" s="259">
        <f t="shared" si="45"/>
        <v>16849060</v>
      </c>
      <c r="G622" s="260">
        <f>SUM(G618:G621)</f>
        <v>2544267</v>
      </c>
      <c r="H622" s="261">
        <f t="shared" si="45"/>
        <v>55</v>
      </c>
      <c r="K622" s="432">
        <f t="shared" si="42"/>
        <v>2000.1258309591642</v>
      </c>
    </row>
    <row r="623" spans="1:11" s="432" customFormat="1" ht="17.100000000000001" customHeight="1" x14ac:dyDescent="0.25">
      <c r="A623" s="21"/>
      <c r="B623" s="21"/>
      <c r="C623" s="21"/>
      <c r="D623" s="21"/>
      <c r="E623" s="21"/>
      <c r="F623" s="21"/>
      <c r="G623" s="21"/>
      <c r="H623" s="21"/>
      <c r="K623" s="432" t="e">
        <f t="shared" si="42"/>
        <v>#DIV/0!</v>
      </c>
    </row>
    <row r="624" spans="1:11" s="432" customFormat="1" ht="17.100000000000001" customHeight="1" x14ac:dyDescent="0.25">
      <c r="A624" s="1138" t="s">
        <v>46</v>
      </c>
      <c r="B624" s="1138"/>
      <c r="C624" s="1138"/>
      <c r="D624" s="1138"/>
      <c r="E624" s="1138"/>
      <c r="F624" s="1138"/>
      <c r="G624" s="1138"/>
      <c r="H624" s="1138"/>
      <c r="K624" s="432" t="e">
        <f t="shared" si="42"/>
        <v>#DIV/0!</v>
      </c>
    </row>
    <row r="625" spans="1:11" s="432" customFormat="1" ht="17.100000000000001" customHeight="1" x14ac:dyDescent="0.25">
      <c r="A625" s="1122" t="s">
        <v>2</v>
      </c>
      <c r="B625" s="1124" t="s">
        <v>77</v>
      </c>
      <c r="C625" s="249" t="s">
        <v>4</v>
      </c>
      <c r="D625" s="249" t="s">
        <v>5</v>
      </c>
      <c r="E625" s="249" t="s">
        <v>6</v>
      </c>
      <c r="F625" s="249" t="s">
        <v>7</v>
      </c>
      <c r="G625" s="249" t="s">
        <v>8</v>
      </c>
      <c r="H625" s="249" t="s">
        <v>9</v>
      </c>
      <c r="K625" s="432" t="e">
        <f t="shared" si="42"/>
        <v>#VALUE!</v>
      </c>
    </row>
    <row r="626" spans="1:11" s="432" customFormat="1" ht="17.100000000000001" customHeight="1" x14ac:dyDescent="0.25">
      <c r="A626" s="1123"/>
      <c r="B626" s="1125"/>
      <c r="C626" s="2" t="s">
        <v>10</v>
      </c>
      <c r="D626" s="2" t="s">
        <v>78</v>
      </c>
      <c r="E626" s="2" t="s">
        <v>79</v>
      </c>
      <c r="F626" s="52" t="s">
        <v>80</v>
      </c>
      <c r="G626" s="52" t="s">
        <v>80</v>
      </c>
      <c r="H626" s="2" t="s">
        <v>13</v>
      </c>
      <c r="K626" s="432" t="e">
        <f t="shared" si="42"/>
        <v>#VALUE!</v>
      </c>
    </row>
    <row r="627" spans="1:11" s="432" customFormat="1" ht="17.100000000000001" customHeight="1" x14ac:dyDescent="0.25">
      <c r="A627" s="166">
        <v>1</v>
      </c>
      <c r="B627" s="214" t="s">
        <v>86</v>
      </c>
      <c r="C627" s="166">
        <v>0</v>
      </c>
      <c r="D627" s="166">
        <v>0</v>
      </c>
      <c r="E627" s="166">
        <v>0</v>
      </c>
      <c r="F627" s="166">
        <v>0</v>
      </c>
      <c r="G627" s="166">
        <v>0</v>
      </c>
      <c r="H627" s="166">
        <v>0</v>
      </c>
      <c r="K627" s="432" t="e">
        <f t="shared" si="42"/>
        <v>#DIV/0!</v>
      </c>
    </row>
    <row r="628" spans="1:11" s="432" customFormat="1" ht="17.100000000000001" customHeight="1" x14ac:dyDescent="0.25">
      <c r="A628" s="166">
        <v>2</v>
      </c>
      <c r="B628" s="214" t="s">
        <v>92</v>
      </c>
      <c r="C628" s="166">
        <f>'Office Minor'!C31</f>
        <v>2</v>
      </c>
      <c r="D628" s="166">
        <f>'Office Minor'!D31</f>
        <v>9.66</v>
      </c>
      <c r="E628" s="166">
        <f>'Office Minor'!E31</f>
        <v>325.20999999999998</v>
      </c>
      <c r="F628" s="166">
        <f>'Office Minor'!F31</f>
        <v>461798</v>
      </c>
      <c r="G628" s="166">
        <f>'Office Minor'!G31</f>
        <v>51498451</v>
      </c>
      <c r="H628" s="166">
        <f>'Office Minor'!H31</f>
        <v>15</v>
      </c>
      <c r="K628" s="432">
        <f t="shared" si="42"/>
        <v>1419.999385012761</v>
      </c>
    </row>
    <row r="629" spans="1:11" s="432" customFormat="1" ht="17.100000000000001" customHeight="1" x14ac:dyDescent="0.25">
      <c r="A629" s="166">
        <v>2</v>
      </c>
      <c r="B629" s="214" t="s">
        <v>150</v>
      </c>
      <c r="C629" s="166">
        <f>'Office Minor'!C80</f>
        <v>1</v>
      </c>
      <c r="D629" s="166">
        <f>'Office Minor'!D80</f>
        <v>63.39</v>
      </c>
      <c r="E629" s="166">
        <f>'Office Minor'!E80</f>
        <v>2786</v>
      </c>
      <c r="F629" s="166">
        <f>'Office Minor'!F80</f>
        <v>3901254</v>
      </c>
      <c r="G629" s="166">
        <f>'Office Minor'!G80</f>
        <v>518716</v>
      </c>
      <c r="H629" s="166">
        <f>'Office Minor'!H80</f>
        <v>20</v>
      </c>
      <c r="K629" s="432">
        <f t="shared" si="42"/>
        <v>1400.3065326633166</v>
      </c>
    </row>
    <row r="630" spans="1:11" s="432" customFormat="1" ht="17.100000000000001" customHeight="1" x14ac:dyDescent="0.25">
      <c r="A630" s="166">
        <v>3</v>
      </c>
      <c r="B630" s="214" t="s">
        <v>81</v>
      </c>
      <c r="C630" s="166">
        <f>'Office Minor'!C178</f>
        <v>35</v>
      </c>
      <c r="D630" s="309">
        <f>'Office Minor'!D178</f>
        <v>2556.73</v>
      </c>
      <c r="E630" s="166">
        <f>'Office Minor'!E178</f>
        <v>623134</v>
      </c>
      <c r="F630" s="166">
        <f>'Office Minor'!F178</f>
        <v>841230900</v>
      </c>
      <c r="G630" s="166">
        <f>'Office Minor'!G178</f>
        <v>44244884</v>
      </c>
      <c r="H630" s="166">
        <f>'Office Minor'!H178</f>
        <v>700</v>
      </c>
      <c r="K630" s="432">
        <f t="shared" si="42"/>
        <v>1350</v>
      </c>
    </row>
    <row r="631" spans="1:11" s="432" customFormat="1" ht="17.100000000000001" customHeight="1" x14ac:dyDescent="0.25">
      <c r="A631" s="166">
        <v>4</v>
      </c>
      <c r="B631" s="214" t="s">
        <v>102</v>
      </c>
      <c r="C631" s="143">
        <f>'Office Minor'!C146</f>
        <v>5</v>
      </c>
      <c r="D631" s="301">
        <f>'Office Minor'!D146</f>
        <v>192.15</v>
      </c>
      <c r="E631" s="143">
        <f>'Office Minor'!E146</f>
        <v>34800</v>
      </c>
      <c r="F631" s="143">
        <f>'Office Minor'!F146</f>
        <v>41735850</v>
      </c>
      <c r="G631" s="143">
        <f>'Office Minor'!G146</f>
        <v>968601</v>
      </c>
      <c r="H631" s="143">
        <f>'Office Minor'!H146</f>
        <v>30</v>
      </c>
      <c r="K631" s="432">
        <f t="shared" si="42"/>
        <v>1199.3060344827586</v>
      </c>
    </row>
    <row r="632" spans="1:11" s="432" customFormat="1" ht="17.100000000000001" customHeight="1" x14ac:dyDescent="0.25">
      <c r="A632" s="166">
        <v>5</v>
      </c>
      <c r="B632" s="214" t="s">
        <v>114</v>
      </c>
      <c r="C632" s="166">
        <f>'Office Minor'!C306</f>
        <v>23</v>
      </c>
      <c r="D632" s="166">
        <f>'Office Minor'!D306</f>
        <v>388.75</v>
      </c>
      <c r="E632" s="166">
        <f>'Office Minor'!E306</f>
        <v>198944</v>
      </c>
      <c r="F632" s="166">
        <f>'Office Minor'!F306</f>
        <v>288469858</v>
      </c>
      <c r="G632" s="166">
        <f>'Office Minor'!G306</f>
        <v>25768071</v>
      </c>
      <c r="H632" s="166">
        <f>'Office Minor'!H306</f>
        <v>490</v>
      </c>
      <c r="K632" s="432">
        <f t="shared" si="42"/>
        <v>1450.0053180794596</v>
      </c>
    </row>
    <row r="633" spans="1:11" s="432" customFormat="1" ht="17.100000000000001" customHeight="1" x14ac:dyDescent="0.25">
      <c r="A633" s="166">
        <v>6</v>
      </c>
      <c r="B633" s="214" t="s">
        <v>110</v>
      </c>
      <c r="C633" s="166">
        <f>'Office Minor'!C279</f>
        <v>4</v>
      </c>
      <c r="D633" s="166">
        <f>'Office Minor'!D279</f>
        <v>72.05</v>
      </c>
      <c r="E633" s="166">
        <f>'Office Minor'!E279</f>
        <v>0</v>
      </c>
      <c r="F633" s="166">
        <f>'Office Minor'!F279</f>
        <v>0</v>
      </c>
      <c r="G633" s="166">
        <f>'Office Minor'!G279</f>
        <v>0</v>
      </c>
      <c r="H633" s="166">
        <f>'Office Minor'!H279</f>
        <v>0</v>
      </c>
      <c r="K633" s="432" t="e">
        <f t="shared" si="42"/>
        <v>#DIV/0!</v>
      </c>
    </row>
    <row r="634" spans="1:11" s="432" customFormat="1" ht="17.100000000000001" customHeight="1" x14ac:dyDescent="0.25">
      <c r="A634" s="166">
        <v>7</v>
      </c>
      <c r="B634" s="214" t="s">
        <v>87</v>
      </c>
      <c r="C634" s="196">
        <f>'Office Minor'!C372</f>
        <v>4</v>
      </c>
      <c r="D634" s="663">
        <f>'Office Minor'!D372</f>
        <v>72.55</v>
      </c>
      <c r="E634" s="196">
        <f>'Office Minor'!E372</f>
        <v>1044</v>
      </c>
      <c r="F634" s="196">
        <f>'Office Minor'!F372</f>
        <v>835200</v>
      </c>
      <c r="G634" s="196">
        <f>'Office Minor'!G372</f>
        <v>1701239</v>
      </c>
      <c r="H634" s="196">
        <f>'Office Minor'!H372</f>
        <v>15</v>
      </c>
      <c r="K634" s="432">
        <f t="shared" si="42"/>
        <v>800</v>
      </c>
    </row>
    <row r="635" spans="1:11" s="432" customFormat="1" ht="17.100000000000001" customHeight="1" x14ac:dyDescent="0.25">
      <c r="A635" s="166">
        <v>8</v>
      </c>
      <c r="B635" s="19" t="s">
        <v>84</v>
      </c>
      <c r="C635" s="213">
        <f>'Office Minor'!C421</f>
        <v>3</v>
      </c>
      <c r="D635" s="664">
        <f>'Office Minor'!D421</f>
        <v>132.81</v>
      </c>
      <c r="E635" s="213">
        <f>'Office Minor'!E421</f>
        <v>0</v>
      </c>
      <c r="F635" s="213">
        <f>'Office Minor'!F421</f>
        <v>0</v>
      </c>
      <c r="G635" s="213">
        <f>'Office Minor'!G421</f>
        <v>0</v>
      </c>
      <c r="H635" s="213">
        <f>'Office Minor'!H421</f>
        <v>0</v>
      </c>
      <c r="K635" s="432" t="e">
        <f t="shared" si="42"/>
        <v>#DIV/0!</v>
      </c>
    </row>
    <row r="636" spans="1:11" s="432" customFormat="1" ht="17.100000000000001" customHeight="1" x14ac:dyDescent="0.25">
      <c r="A636" s="166">
        <v>9</v>
      </c>
      <c r="B636" s="214" t="s">
        <v>106</v>
      </c>
      <c r="C636" s="166">
        <f>'Office Minor'!C455</f>
        <v>7</v>
      </c>
      <c r="D636" s="309">
        <f>'Office Minor'!D455</f>
        <v>268.73</v>
      </c>
      <c r="E636" s="166">
        <f>'Office Minor'!E455</f>
        <v>19200</v>
      </c>
      <c r="F636" s="166">
        <f>'Office Minor'!F455</f>
        <v>26846400</v>
      </c>
      <c r="G636" s="166">
        <f>'Office Minor'!G455</f>
        <v>1913703</v>
      </c>
      <c r="H636" s="166">
        <f>'Office Minor'!H455</f>
        <v>20</v>
      </c>
      <c r="K636" s="432">
        <f t="shared" si="42"/>
        <v>1398.25</v>
      </c>
    </row>
    <row r="637" spans="1:11" s="432" customFormat="1" ht="17.100000000000001" customHeight="1" x14ac:dyDescent="0.25">
      <c r="A637" s="166">
        <v>10</v>
      </c>
      <c r="B637" s="214" t="s">
        <v>111</v>
      </c>
      <c r="C637" s="137">
        <f>'Office Minor'!C572</f>
        <v>24</v>
      </c>
      <c r="D637" s="312">
        <f>'Office Minor'!D572</f>
        <v>1093.83</v>
      </c>
      <c r="E637" s="137">
        <f>'Office Minor'!E572</f>
        <v>110329</v>
      </c>
      <c r="F637" s="137">
        <f>'Office Minor'!F572</f>
        <v>148392505</v>
      </c>
      <c r="G637" s="137">
        <f>'Office Minor'!G572</f>
        <v>31333436</v>
      </c>
      <c r="H637" s="137">
        <f>'Office Minor'!H572</f>
        <v>200</v>
      </c>
      <c r="K637" s="432">
        <f t="shared" si="42"/>
        <v>1345</v>
      </c>
    </row>
    <row r="638" spans="1:11" s="432" customFormat="1" ht="17.100000000000001" customHeight="1" x14ac:dyDescent="0.25">
      <c r="A638" s="166">
        <v>11</v>
      </c>
      <c r="B638" s="214" t="s">
        <v>90</v>
      </c>
      <c r="C638" s="145">
        <f>'Office Minor'!C604</f>
        <v>0</v>
      </c>
      <c r="D638" s="665">
        <f>'Office Minor'!D604</f>
        <v>0</v>
      </c>
      <c r="E638" s="145">
        <f>'Office Minor'!E604</f>
        <v>0</v>
      </c>
      <c r="F638" s="145">
        <f>'Office Minor'!F604</f>
        <v>0</v>
      </c>
      <c r="G638" s="145">
        <f>'Office Minor'!G604</f>
        <v>0</v>
      </c>
      <c r="H638" s="145">
        <f>'Office Minor'!H604</f>
        <v>0</v>
      </c>
      <c r="K638" s="432" t="e">
        <f t="shared" si="42"/>
        <v>#DIV/0!</v>
      </c>
    </row>
    <row r="639" spans="1:11" s="432" customFormat="1" ht="17.100000000000001" customHeight="1" x14ac:dyDescent="0.25">
      <c r="A639" s="166">
        <v>12</v>
      </c>
      <c r="B639" s="214" t="s">
        <v>127</v>
      </c>
      <c r="C639" s="166">
        <f>'Office Minor'!C633</f>
        <v>34</v>
      </c>
      <c r="D639" s="309">
        <f>'Office Minor'!D633</f>
        <v>474.53</v>
      </c>
      <c r="E639" s="166">
        <f>'Office Minor'!E633</f>
        <v>337417</v>
      </c>
      <c r="F639" s="166">
        <f>'Office Minor'!F633</f>
        <v>455512950</v>
      </c>
      <c r="G639" s="166">
        <f>'Office Minor'!G633</f>
        <v>37589601</v>
      </c>
      <c r="H639" s="166">
        <f>'Office Minor'!H633</f>
        <v>450</v>
      </c>
      <c r="K639" s="432">
        <f t="shared" si="42"/>
        <v>1350</v>
      </c>
    </row>
    <row r="640" spans="1:11" s="432" customFormat="1" ht="17.100000000000001" customHeight="1" x14ac:dyDescent="0.25">
      <c r="A640" s="166">
        <v>13</v>
      </c>
      <c r="B640" s="214" t="s">
        <v>99</v>
      </c>
      <c r="C640" s="166">
        <f>'Office Minor'!C662</f>
        <v>5</v>
      </c>
      <c r="D640" s="309">
        <f>'Office Minor'!D662</f>
        <v>0</v>
      </c>
      <c r="E640" s="166">
        <f>'Office Minor'!E662</f>
        <v>25143</v>
      </c>
      <c r="F640" s="166">
        <f>'Office Minor'!F662</f>
        <v>33943050</v>
      </c>
      <c r="G640" s="166">
        <f>'Office Minor'!G662</f>
        <v>7291470</v>
      </c>
      <c r="H640" s="166">
        <f>'Office Minor'!H662</f>
        <v>100</v>
      </c>
      <c r="K640" s="432">
        <f t="shared" si="42"/>
        <v>1350</v>
      </c>
    </row>
    <row r="641" spans="1:11" s="432" customFormat="1" ht="17.100000000000001" customHeight="1" x14ac:dyDescent="0.25">
      <c r="A641" s="166">
        <v>14</v>
      </c>
      <c r="B641" s="214" t="s">
        <v>100</v>
      </c>
      <c r="C641" s="145">
        <f>'Office Minor'!C719</f>
        <v>2</v>
      </c>
      <c r="D641" s="145">
        <f>'Office Minor'!D719</f>
        <v>10</v>
      </c>
      <c r="E641" s="145">
        <f>'Office Minor'!E719</f>
        <v>0</v>
      </c>
      <c r="F641" s="145">
        <f>'Office Minor'!F719</f>
        <v>0</v>
      </c>
      <c r="G641" s="145">
        <f>'Office Minor'!G719</f>
        <v>0</v>
      </c>
      <c r="H641" s="145">
        <f>'Office Minor'!H719</f>
        <v>0</v>
      </c>
      <c r="K641" s="432" t="e">
        <f t="shared" si="42"/>
        <v>#DIV/0!</v>
      </c>
    </row>
    <row r="642" spans="1:11" s="432" customFormat="1" ht="17.100000000000001" customHeight="1" x14ac:dyDescent="0.25">
      <c r="A642" s="166">
        <v>15</v>
      </c>
      <c r="B642" s="214" t="s">
        <v>83</v>
      </c>
      <c r="C642" s="166">
        <f>'Office Minor'!C801</f>
        <v>27</v>
      </c>
      <c r="D642" s="166">
        <f>'Office Minor'!D801</f>
        <v>1027.67</v>
      </c>
      <c r="E642" s="166">
        <f>'Office Minor'!E801</f>
        <v>172979</v>
      </c>
      <c r="F642" s="166">
        <f>'Office Minor'!F801</f>
        <v>233521650</v>
      </c>
      <c r="G642" s="166">
        <f>'Office Minor'!G801</f>
        <v>59231491</v>
      </c>
      <c r="H642" s="166">
        <f>'Office Minor'!H801</f>
        <v>225</v>
      </c>
      <c r="K642" s="432">
        <f t="shared" si="42"/>
        <v>1350</v>
      </c>
    </row>
    <row r="643" spans="1:11" s="432" customFormat="1" ht="17.100000000000001" customHeight="1" x14ac:dyDescent="0.25">
      <c r="A643" s="1136" t="s">
        <v>50</v>
      </c>
      <c r="B643" s="1137"/>
      <c r="C643" s="259">
        <f>SUM(C627:C642)</f>
        <v>176</v>
      </c>
      <c r="D643" s="260">
        <f t="shared" ref="D643:H643" si="46">SUM(D627:D642)</f>
        <v>6362.85</v>
      </c>
      <c r="E643" s="261">
        <f t="shared" si="46"/>
        <v>1526101.21</v>
      </c>
      <c r="F643" s="261">
        <f t="shared" si="46"/>
        <v>2074851415</v>
      </c>
      <c r="G643" s="261">
        <f>SUM(G627:G642)</f>
        <v>262059663</v>
      </c>
      <c r="H643" s="259">
        <f t="shared" si="46"/>
        <v>2265</v>
      </c>
      <c r="K643" s="432">
        <f t="shared" si="42"/>
        <v>1359.5765480062755</v>
      </c>
    </row>
    <row r="644" spans="1:11" s="432" customFormat="1" ht="17.100000000000001" customHeight="1" x14ac:dyDescent="0.25">
      <c r="A644" s="21"/>
      <c r="B644" s="21"/>
      <c r="C644" s="21"/>
      <c r="D644" s="21"/>
      <c r="E644" s="21"/>
      <c r="F644" s="21"/>
      <c r="G644" s="21"/>
      <c r="H644" s="21"/>
      <c r="K644" s="432" t="e">
        <f t="shared" si="42"/>
        <v>#DIV/0!</v>
      </c>
    </row>
    <row r="645" spans="1:11" s="432" customFormat="1" ht="17.100000000000001" customHeight="1" x14ac:dyDescent="0.25">
      <c r="A645" s="1149" t="s">
        <v>149</v>
      </c>
      <c r="B645" s="1149"/>
      <c r="C645" s="1149"/>
      <c r="D645" s="1149"/>
      <c r="E645" s="1149"/>
      <c r="F645" s="1149"/>
      <c r="G645" s="1149"/>
      <c r="H645" s="1149"/>
      <c r="K645" s="432" t="e">
        <f t="shared" si="42"/>
        <v>#DIV/0!</v>
      </c>
    </row>
    <row r="646" spans="1:11" s="432" customFormat="1" ht="17.100000000000001" customHeight="1" x14ac:dyDescent="0.25">
      <c r="A646" s="1122" t="s">
        <v>2</v>
      </c>
      <c r="B646" s="1124" t="s">
        <v>77</v>
      </c>
      <c r="C646" s="249" t="s">
        <v>4</v>
      </c>
      <c r="D646" s="249" t="s">
        <v>5</v>
      </c>
      <c r="E646" s="249" t="s">
        <v>6</v>
      </c>
      <c r="F646" s="249" t="s">
        <v>7</v>
      </c>
      <c r="G646" s="249" t="s">
        <v>8</v>
      </c>
      <c r="H646" s="249" t="s">
        <v>9</v>
      </c>
      <c r="K646" s="432" t="e">
        <f t="shared" si="42"/>
        <v>#VALUE!</v>
      </c>
    </row>
    <row r="647" spans="1:11" s="432" customFormat="1" ht="17.100000000000001" customHeight="1" x14ac:dyDescent="0.25">
      <c r="A647" s="1123"/>
      <c r="B647" s="1125"/>
      <c r="C647" s="2" t="s">
        <v>10</v>
      </c>
      <c r="D647" s="2" t="s">
        <v>52</v>
      </c>
      <c r="E647" s="2" t="s">
        <v>79</v>
      </c>
      <c r="F647" s="52" t="s">
        <v>80</v>
      </c>
      <c r="G647" s="52" t="s">
        <v>80</v>
      </c>
      <c r="H647" s="2" t="s">
        <v>13</v>
      </c>
      <c r="K647" s="432" t="e">
        <f t="shared" si="42"/>
        <v>#VALUE!</v>
      </c>
    </row>
    <row r="648" spans="1:11" s="432" customFormat="1" ht="17.100000000000001" customHeight="1" x14ac:dyDescent="0.25">
      <c r="A648" s="166">
        <v>1</v>
      </c>
      <c r="B648" s="433" t="s">
        <v>104</v>
      </c>
      <c r="C648" s="143">
        <v>0</v>
      </c>
      <c r="D648" s="143">
        <v>0</v>
      </c>
      <c r="E648" s="204">
        <v>0</v>
      </c>
      <c r="F648" s="143">
        <v>0</v>
      </c>
      <c r="G648" s="204">
        <v>0</v>
      </c>
      <c r="H648" s="204">
        <v>0</v>
      </c>
      <c r="K648" s="432" t="e">
        <f t="shared" ref="K648:K649" si="47">F648/E648</f>
        <v>#DIV/0!</v>
      </c>
    </row>
    <row r="649" spans="1:11" s="432" customFormat="1" ht="17.100000000000001" customHeight="1" x14ac:dyDescent="0.25">
      <c r="A649" s="1136" t="s">
        <v>50</v>
      </c>
      <c r="B649" s="1150"/>
      <c r="C649" s="259">
        <f>SUM(C648:C648)</f>
        <v>0</v>
      </c>
      <c r="D649" s="406">
        <f t="shared" ref="D649:H649" si="48">SUM(D648:D648)</f>
        <v>0</v>
      </c>
      <c r="E649" s="259">
        <f t="shared" si="48"/>
        <v>0</v>
      </c>
      <c r="F649" s="259">
        <f t="shared" si="48"/>
        <v>0</v>
      </c>
      <c r="G649" s="259">
        <f t="shared" si="48"/>
        <v>0</v>
      </c>
      <c r="H649" s="259">
        <f t="shared" si="48"/>
        <v>0</v>
      </c>
      <c r="K649" s="432" t="e">
        <f t="shared" si="47"/>
        <v>#DIV/0!</v>
      </c>
    </row>
    <row r="650" spans="1:11" s="432" customFormat="1" ht="17.100000000000001" customHeight="1" x14ac:dyDescent="0.25">
      <c r="A650" s="21"/>
      <c r="B650" s="21"/>
      <c r="C650" s="21"/>
      <c r="D650" s="21"/>
      <c r="E650" s="21"/>
      <c r="F650" s="21"/>
      <c r="G650" s="21"/>
      <c r="H650" s="21"/>
    </row>
    <row r="651" spans="1:11" s="432" customFormat="1" ht="17.100000000000001" customHeight="1" x14ac:dyDescent="0.25">
      <c r="A651" s="1149" t="s">
        <v>75</v>
      </c>
      <c r="B651" s="1149"/>
      <c r="C651" s="1149"/>
      <c r="D651" s="1149"/>
      <c r="E651" s="1149"/>
      <c r="F651" s="1149"/>
      <c r="G651" s="1149"/>
      <c r="H651" s="1149"/>
    </row>
    <row r="652" spans="1:11" s="432" customFormat="1" ht="17.100000000000001" customHeight="1" x14ac:dyDescent="0.25">
      <c r="A652" s="1122" t="s">
        <v>2</v>
      </c>
      <c r="B652" s="1124" t="s">
        <v>77</v>
      </c>
      <c r="C652" s="249" t="s">
        <v>4</v>
      </c>
      <c r="D652" s="249" t="s">
        <v>5</v>
      </c>
      <c r="E652" s="249" t="s">
        <v>6</v>
      </c>
      <c r="F652" s="249" t="s">
        <v>7</v>
      </c>
      <c r="G652" s="249" t="s">
        <v>8</v>
      </c>
      <c r="H652" s="249" t="s">
        <v>9</v>
      </c>
    </row>
    <row r="653" spans="1:11" s="432" customFormat="1" ht="17.100000000000001" customHeight="1" x14ac:dyDescent="0.25">
      <c r="A653" s="1153"/>
      <c r="B653" s="1153"/>
      <c r="C653" s="2" t="s">
        <v>10</v>
      </c>
      <c r="D653" s="2" t="s">
        <v>52</v>
      </c>
      <c r="E653" s="2" t="s">
        <v>79</v>
      </c>
      <c r="F653" s="52" t="s">
        <v>80</v>
      </c>
      <c r="G653" s="52" t="s">
        <v>80</v>
      </c>
      <c r="H653" s="2" t="s">
        <v>13</v>
      </c>
    </row>
    <row r="654" spans="1:11" s="432" customFormat="1" ht="17.100000000000001" customHeight="1" x14ac:dyDescent="0.25">
      <c r="A654" s="166">
        <v>1</v>
      </c>
      <c r="B654" s="433" t="s">
        <v>138</v>
      </c>
      <c r="C654" s="217">
        <f>'Office Minor'!C18</f>
        <v>0</v>
      </c>
      <c r="D654" s="217">
        <f>'Office Minor'!D18</f>
        <v>0</v>
      </c>
      <c r="E654" s="217">
        <f>'Office Minor'!E18</f>
        <v>0</v>
      </c>
      <c r="F654" s="217">
        <f>'Office Minor'!F18</f>
        <v>0</v>
      </c>
      <c r="G654" s="217">
        <f>'Office Minor'!G18</f>
        <v>14203362</v>
      </c>
      <c r="H654" s="217">
        <f>'Office Minor'!H18</f>
        <v>0</v>
      </c>
    </row>
    <row r="655" spans="1:11" s="432" customFormat="1" ht="17.100000000000001" customHeight="1" x14ac:dyDescent="0.25">
      <c r="A655" s="166">
        <v>2</v>
      </c>
      <c r="B655" s="433" t="s">
        <v>92</v>
      </c>
      <c r="C655" s="217">
        <v>0</v>
      </c>
      <c r="D655" s="216">
        <v>0</v>
      </c>
      <c r="E655" s="217">
        <v>0</v>
      </c>
      <c r="F655" s="217">
        <v>0</v>
      </c>
      <c r="G655" s="217">
        <f>'Office Minor'!G35</f>
        <v>24372161</v>
      </c>
      <c r="H655" s="143">
        <v>0</v>
      </c>
    </row>
    <row r="656" spans="1:11" s="432" customFormat="1" ht="17.100000000000001" customHeight="1" x14ac:dyDescent="0.25">
      <c r="A656" s="166">
        <v>3</v>
      </c>
      <c r="B656" s="433" t="s">
        <v>86</v>
      </c>
      <c r="C656" s="221">
        <v>0</v>
      </c>
      <c r="D656" s="221">
        <v>0</v>
      </c>
      <c r="E656" s="216">
        <v>0</v>
      </c>
      <c r="F656" s="63">
        <v>0</v>
      </c>
      <c r="G656" s="221">
        <f>'Office Minor'!G53</f>
        <v>95691867</v>
      </c>
      <c r="H656" s="137">
        <v>0</v>
      </c>
    </row>
    <row r="657" spans="1:11" s="432" customFormat="1" ht="17.100000000000001" customHeight="1" x14ac:dyDescent="0.25">
      <c r="A657" s="166">
        <v>4</v>
      </c>
      <c r="B657" s="433" t="s">
        <v>191</v>
      </c>
      <c r="C657" s="221">
        <v>0</v>
      </c>
      <c r="D657" s="221">
        <v>0</v>
      </c>
      <c r="E657" s="216">
        <v>0</v>
      </c>
      <c r="F657" s="63">
        <v>0</v>
      </c>
      <c r="G657" s="458">
        <f>'Office Minor'!G134</f>
        <v>0</v>
      </c>
      <c r="H657" s="137">
        <v>0</v>
      </c>
    </row>
    <row r="658" spans="1:11" s="432" customFormat="1" ht="17.100000000000001" customHeight="1" x14ac:dyDescent="0.25">
      <c r="A658" s="166">
        <v>5</v>
      </c>
      <c r="B658" s="433" t="s">
        <v>140</v>
      </c>
      <c r="C658" s="221">
        <v>0</v>
      </c>
      <c r="D658" s="221">
        <v>0</v>
      </c>
      <c r="E658" s="216">
        <v>0</v>
      </c>
      <c r="F658" s="63">
        <v>0</v>
      </c>
      <c r="G658" s="198">
        <f>'Office Minor'!G96</f>
        <v>71025686</v>
      </c>
      <c r="H658" s="137">
        <v>0</v>
      </c>
    </row>
    <row r="659" spans="1:11" s="432" customFormat="1" ht="17.100000000000001" customHeight="1" x14ac:dyDescent="0.25">
      <c r="A659" s="166">
        <v>6</v>
      </c>
      <c r="B659" s="454" t="s">
        <v>145</v>
      </c>
      <c r="C659" s="221">
        <v>0</v>
      </c>
      <c r="D659" s="221">
        <v>0</v>
      </c>
      <c r="E659" s="216">
        <v>0</v>
      </c>
      <c r="F659" s="63">
        <v>0</v>
      </c>
      <c r="G659" s="217">
        <f>'Office Minor'!G67</f>
        <v>40047330</v>
      </c>
      <c r="H659" s="221">
        <v>0</v>
      </c>
    </row>
    <row r="660" spans="1:11" s="432" customFormat="1" ht="17.100000000000001" customHeight="1" x14ac:dyDescent="0.25">
      <c r="A660" s="166">
        <v>7</v>
      </c>
      <c r="B660" s="433" t="s">
        <v>150</v>
      </c>
      <c r="C660" s="221">
        <v>0</v>
      </c>
      <c r="D660" s="221">
        <v>0</v>
      </c>
      <c r="E660" s="216">
        <v>0</v>
      </c>
      <c r="F660" s="63">
        <v>0</v>
      </c>
      <c r="G660" s="221">
        <f>'Office Minor'!G83</f>
        <v>43098980</v>
      </c>
      <c r="H660" s="221">
        <v>0</v>
      </c>
    </row>
    <row r="661" spans="1:11" s="432" customFormat="1" ht="17.100000000000001" customHeight="1" x14ac:dyDescent="0.25">
      <c r="A661" s="166">
        <v>8</v>
      </c>
      <c r="B661" s="433" t="s">
        <v>101</v>
      </c>
      <c r="C661" s="217">
        <v>0</v>
      </c>
      <c r="D661" s="216">
        <v>0</v>
      </c>
      <c r="E661" s="216">
        <v>0</v>
      </c>
      <c r="F661" s="63">
        <v>0</v>
      </c>
      <c r="G661" s="217">
        <f>'Office Minor'!G116</f>
        <v>65653345</v>
      </c>
      <c r="H661" s="217">
        <v>0</v>
      </c>
    </row>
    <row r="662" spans="1:11" s="432" customFormat="1" ht="17.100000000000001" customHeight="1" x14ac:dyDescent="0.25">
      <c r="A662" s="166">
        <v>9</v>
      </c>
      <c r="B662" s="433" t="s">
        <v>141</v>
      </c>
      <c r="C662" s="221">
        <v>0</v>
      </c>
      <c r="D662" s="221">
        <v>0</v>
      </c>
      <c r="E662" s="216">
        <v>0</v>
      </c>
      <c r="F662" s="63">
        <v>0</v>
      </c>
      <c r="G662" s="217">
        <f>'Office Minor'!G150</f>
        <v>1761244</v>
      </c>
      <c r="H662" s="221">
        <v>0</v>
      </c>
      <c r="K662" s="590"/>
    </row>
    <row r="663" spans="1:11" s="432" customFormat="1" ht="17.100000000000001" customHeight="1" x14ac:dyDescent="0.25">
      <c r="A663" s="166">
        <v>10</v>
      </c>
      <c r="B663" s="433" t="s">
        <v>113</v>
      </c>
      <c r="C663" s="217">
        <v>0</v>
      </c>
      <c r="D663" s="216">
        <v>0</v>
      </c>
      <c r="E663" s="216">
        <v>0</v>
      </c>
      <c r="F663" s="341">
        <v>0</v>
      </c>
      <c r="G663" s="217">
        <f>'Office Minor'!G161</f>
        <v>28796875</v>
      </c>
      <c r="H663" s="217">
        <v>0</v>
      </c>
    </row>
    <row r="664" spans="1:11" s="432" customFormat="1" ht="17.100000000000001" customHeight="1" x14ac:dyDescent="0.25">
      <c r="A664" s="166">
        <v>11</v>
      </c>
      <c r="B664" s="433" t="s">
        <v>81</v>
      </c>
      <c r="C664" s="221">
        <v>0</v>
      </c>
      <c r="D664" s="221">
        <v>0</v>
      </c>
      <c r="E664" s="216">
        <v>0</v>
      </c>
      <c r="F664" s="63">
        <v>0</v>
      </c>
      <c r="G664" s="221">
        <f>'Office Minor'!G185</f>
        <v>7071114</v>
      </c>
      <c r="H664" s="221">
        <v>0</v>
      </c>
      <c r="K664" s="590"/>
    </row>
    <row r="665" spans="1:11" s="432" customFormat="1" ht="17.100000000000001" customHeight="1" x14ac:dyDescent="0.25">
      <c r="A665" s="166">
        <v>12</v>
      </c>
      <c r="B665" s="433" t="s">
        <v>96</v>
      </c>
      <c r="C665" s="217">
        <v>0</v>
      </c>
      <c r="D665" s="216">
        <v>0</v>
      </c>
      <c r="E665" s="216">
        <v>0</v>
      </c>
      <c r="F665" s="63">
        <v>0</v>
      </c>
      <c r="G665" s="217">
        <f>'Office Minor'!G200</f>
        <v>12254327</v>
      </c>
      <c r="H665" s="221">
        <v>0</v>
      </c>
    </row>
    <row r="666" spans="1:11" s="432" customFormat="1" ht="17.100000000000001" customHeight="1" x14ac:dyDescent="0.25">
      <c r="A666" s="166">
        <v>13</v>
      </c>
      <c r="B666" s="433" t="s">
        <v>148</v>
      </c>
      <c r="C666" s="221">
        <v>0</v>
      </c>
      <c r="D666" s="221">
        <v>0</v>
      </c>
      <c r="E666" s="216">
        <v>0</v>
      </c>
      <c r="F666" s="63">
        <v>0</v>
      </c>
      <c r="G666" s="221">
        <f>'Office Minor'!G208</f>
        <v>0</v>
      </c>
      <c r="H666" s="221">
        <v>0</v>
      </c>
    </row>
    <row r="667" spans="1:11" s="432" customFormat="1" ht="17.100000000000001" customHeight="1" x14ac:dyDescent="0.25">
      <c r="A667" s="166">
        <v>14</v>
      </c>
      <c r="B667" s="433" t="s">
        <v>142</v>
      </c>
      <c r="C667" s="217">
        <f>'Office Minor'!C225</f>
        <v>0</v>
      </c>
      <c r="D667" s="217">
        <f>'Office Minor'!D225</f>
        <v>0</v>
      </c>
      <c r="E667" s="217">
        <f>'Office Minor'!E225</f>
        <v>0</v>
      </c>
      <c r="F667" s="217">
        <f>'Office Minor'!F225</f>
        <v>0</v>
      </c>
      <c r="G667" s="217">
        <f>'Office Minor'!G225</f>
        <v>30080000</v>
      </c>
      <c r="H667" s="217">
        <f>'Office Minor'!H225</f>
        <v>0</v>
      </c>
    </row>
    <row r="668" spans="1:11" s="432" customFormat="1" ht="17.100000000000001" customHeight="1" x14ac:dyDescent="0.25">
      <c r="A668" s="166">
        <v>15</v>
      </c>
      <c r="B668" s="433" t="s">
        <v>104</v>
      </c>
      <c r="C668" s="377">
        <v>0</v>
      </c>
      <c r="D668" s="377">
        <v>0</v>
      </c>
      <c r="E668" s="219">
        <v>0</v>
      </c>
      <c r="F668" s="203">
        <v>0</v>
      </c>
      <c r="G668" s="364">
        <f>'Office Minor'!G263</f>
        <v>7427145</v>
      </c>
      <c r="H668" s="219">
        <v>0</v>
      </c>
    </row>
    <row r="669" spans="1:11" s="432" customFormat="1" ht="17.100000000000001" customHeight="1" x14ac:dyDescent="0.25">
      <c r="A669" s="166">
        <v>16</v>
      </c>
      <c r="B669" s="459" t="s">
        <v>377</v>
      </c>
      <c r="C669" s="221">
        <v>0</v>
      </c>
      <c r="D669" s="221">
        <v>0</v>
      </c>
      <c r="E669" s="221">
        <v>0</v>
      </c>
      <c r="F669" s="166">
        <v>0</v>
      </c>
      <c r="G669" s="251">
        <f>'Office Minor'!G237</f>
        <v>7789551</v>
      </c>
      <c r="H669" s="221">
        <v>0</v>
      </c>
    </row>
    <row r="670" spans="1:11" s="432" customFormat="1" ht="17.100000000000001" customHeight="1" x14ac:dyDescent="0.25">
      <c r="A670" s="166">
        <v>17</v>
      </c>
      <c r="B670" s="433" t="s">
        <v>110</v>
      </c>
      <c r="C670" s="308">
        <f>'Office Minor'!C283</f>
        <v>0</v>
      </c>
      <c r="D670" s="308">
        <f>'Office Minor'!D283</f>
        <v>0</v>
      </c>
      <c r="E670" s="308">
        <f>'Office Minor'!E283</f>
        <v>0</v>
      </c>
      <c r="F670" s="308">
        <f>'Office Minor'!F283</f>
        <v>0</v>
      </c>
      <c r="G670" s="308">
        <f>'Office Minor'!G283</f>
        <v>21782133</v>
      </c>
      <c r="H670" s="308">
        <f>'Office Minor'!H283</f>
        <v>0</v>
      </c>
    </row>
    <row r="671" spans="1:11" s="432" customFormat="1" ht="17.100000000000001" customHeight="1" x14ac:dyDescent="0.25">
      <c r="A671" s="166">
        <v>18</v>
      </c>
      <c r="B671" s="433" t="s">
        <v>134</v>
      </c>
      <c r="C671" s="221">
        <v>0</v>
      </c>
      <c r="D671" s="221">
        <v>0</v>
      </c>
      <c r="E671" s="216">
        <v>0</v>
      </c>
      <c r="F671" s="63">
        <v>0</v>
      </c>
      <c r="G671" s="204">
        <f>'Office Minor'!G294</f>
        <v>26775000</v>
      </c>
      <c r="H671" s="221">
        <v>0</v>
      </c>
    </row>
    <row r="672" spans="1:11" s="432" customFormat="1" ht="17.100000000000001" customHeight="1" x14ac:dyDescent="0.25">
      <c r="A672" s="166">
        <v>19</v>
      </c>
      <c r="B672" s="433" t="s">
        <v>153</v>
      </c>
      <c r="C672" s="217">
        <v>0</v>
      </c>
      <c r="D672" s="216">
        <v>0</v>
      </c>
      <c r="E672" s="216">
        <v>0</v>
      </c>
      <c r="F672" s="63">
        <v>0</v>
      </c>
      <c r="G672" s="222">
        <f>'Office Minor'!G308</f>
        <v>49514186</v>
      </c>
      <c r="H672" s="221">
        <v>0</v>
      </c>
    </row>
    <row r="673" spans="1:11" s="432" customFormat="1" ht="17.100000000000001" customHeight="1" x14ac:dyDescent="0.25">
      <c r="A673" s="166">
        <v>20</v>
      </c>
      <c r="B673" s="433" t="s">
        <v>105</v>
      </c>
      <c r="C673" s="377">
        <f>'Office Minor'!C323</f>
        <v>0</v>
      </c>
      <c r="D673" s="377">
        <f>'Office Minor'!D323</f>
        <v>0</v>
      </c>
      <c r="E673" s="377">
        <f>'Office Minor'!E323</f>
        <v>0</v>
      </c>
      <c r="F673" s="377">
        <f>'Office Minor'!F323</f>
        <v>0</v>
      </c>
      <c r="G673" s="377">
        <f>'Office Minor'!G323</f>
        <v>4885733</v>
      </c>
      <c r="H673" s="377">
        <f>'Office Minor'!H323</f>
        <v>0</v>
      </c>
    </row>
    <row r="674" spans="1:11" s="432" customFormat="1" ht="17.100000000000001" customHeight="1" x14ac:dyDescent="0.25">
      <c r="A674" s="166">
        <v>21</v>
      </c>
      <c r="B674" s="433" t="s">
        <v>117</v>
      </c>
      <c r="C674" s="221">
        <v>0</v>
      </c>
      <c r="D674" s="221">
        <v>0</v>
      </c>
      <c r="E674" s="221">
        <v>0</v>
      </c>
      <c r="F674" s="166">
        <v>0</v>
      </c>
      <c r="G674" s="217">
        <f>'Office Minor'!G333</f>
        <v>13643505</v>
      </c>
      <c r="H674" s="221">
        <v>0</v>
      </c>
    </row>
    <row r="675" spans="1:11" s="432" customFormat="1" ht="17.100000000000001" customHeight="1" x14ac:dyDescent="0.25">
      <c r="A675" s="166">
        <v>22</v>
      </c>
      <c r="B675" s="433" t="s">
        <v>154</v>
      </c>
      <c r="C675" s="308">
        <v>0</v>
      </c>
      <c r="D675" s="222">
        <v>0</v>
      </c>
      <c r="E675" s="222">
        <v>0</v>
      </c>
      <c r="F675" s="236">
        <v>0</v>
      </c>
      <c r="G675" s="217">
        <f>'Office Minor'!G354</f>
        <v>58882013</v>
      </c>
      <c r="H675" s="460">
        <v>0</v>
      </c>
    </row>
    <row r="676" spans="1:11" s="432" customFormat="1" ht="17.100000000000001" customHeight="1" x14ac:dyDescent="0.25">
      <c r="A676" s="166">
        <v>23</v>
      </c>
      <c r="B676" s="433" t="s">
        <v>87</v>
      </c>
      <c r="C676" s="221">
        <v>0</v>
      </c>
      <c r="D676" s="221">
        <v>0</v>
      </c>
      <c r="E676" s="216">
        <v>0</v>
      </c>
      <c r="F676" s="63">
        <v>0</v>
      </c>
      <c r="G676" s="221">
        <f>'Office Minor'!G375</f>
        <v>52495625</v>
      </c>
      <c r="H676" s="221">
        <v>0</v>
      </c>
    </row>
    <row r="677" spans="1:11" s="432" customFormat="1" ht="17.100000000000001" customHeight="1" x14ac:dyDescent="0.25">
      <c r="A677" s="166">
        <v>24</v>
      </c>
      <c r="B677" s="433" t="s">
        <v>115</v>
      </c>
      <c r="C677" s="217">
        <v>0</v>
      </c>
      <c r="D677" s="216">
        <v>0</v>
      </c>
      <c r="E677" s="216">
        <v>0</v>
      </c>
      <c r="F677" s="63">
        <v>0</v>
      </c>
      <c r="G677" s="370">
        <f>'Office Minor'!G389</f>
        <v>65100000</v>
      </c>
      <c r="H677" s="221">
        <v>0</v>
      </c>
    </row>
    <row r="678" spans="1:11" s="432" customFormat="1" ht="17.100000000000001" customHeight="1" x14ac:dyDescent="0.25">
      <c r="A678" s="166">
        <v>25</v>
      </c>
      <c r="B678" s="433" t="s">
        <v>128</v>
      </c>
      <c r="C678" s="374">
        <v>0</v>
      </c>
      <c r="D678" s="374">
        <v>0</v>
      </c>
      <c r="E678" s="223">
        <v>0</v>
      </c>
      <c r="F678" s="288">
        <v>0</v>
      </c>
      <c r="G678" s="375">
        <f>'Office Minor'!G404</f>
        <v>55439000</v>
      </c>
      <c r="H678" s="376">
        <v>0</v>
      </c>
    </row>
    <row r="679" spans="1:11" s="432" customFormat="1" ht="17.100000000000001" customHeight="1" x14ac:dyDescent="0.25">
      <c r="A679" s="166">
        <v>26</v>
      </c>
      <c r="B679" s="433" t="s">
        <v>84</v>
      </c>
      <c r="C679" s="216">
        <v>0</v>
      </c>
      <c r="D679" s="216">
        <v>0</v>
      </c>
      <c r="E679" s="216">
        <v>0</v>
      </c>
      <c r="F679" s="143">
        <v>0</v>
      </c>
      <c r="G679" s="461">
        <f>'Office Minor'!G423</f>
        <v>11000000</v>
      </c>
      <c r="H679" s="222">
        <v>0</v>
      </c>
    </row>
    <row r="680" spans="1:11" s="432" customFormat="1" ht="17.100000000000001" customHeight="1" x14ac:dyDescent="0.25">
      <c r="A680" s="166">
        <v>27</v>
      </c>
      <c r="B680" s="433" t="s">
        <v>118</v>
      </c>
      <c r="C680" s="217">
        <v>0</v>
      </c>
      <c r="D680" s="216">
        <v>0</v>
      </c>
      <c r="E680" s="216">
        <v>0</v>
      </c>
      <c r="F680" s="63">
        <v>0</v>
      </c>
      <c r="G680" s="217">
        <f>'Office Minor'!G438</f>
        <v>76403000</v>
      </c>
      <c r="H680" s="217">
        <v>0</v>
      </c>
    </row>
    <row r="681" spans="1:11" s="432" customFormat="1" ht="17.100000000000001" customHeight="1" x14ac:dyDescent="0.25">
      <c r="A681" s="166">
        <v>28</v>
      </c>
      <c r="B681" s="433" t="s">
        <v>136</v>
      </c>
      <c r="C681" s="221">
        <v>0</v>
      </c>
      <c r="D681" s="221">
        <v>0</v>
      </c>
      <c r="E681" s="216">
        <v>0</v>
      </c>
      <c r="F681" s="63">
        <v>0</v>
      </c>
      <c r="G681" s="221">
        <f>'Office Minor'!G456</f>
        <v>18682377</v>
      </c>
      <c r="H681" s="221">
        <v>0</v>
      </c>
    </row>
    <row r="682" spans="1:11" s="432" customFormat="1" ht="17.100000000000001" customHeight="1" x14ac:dyDescent="0.25">
      <c r="A682" s="166">
        <v>29</v>
      </c>
      <c r="B682" s="433" t="s">
        <v>119</v>
      </c>
      <c r="C682" s="217">
        <v>0</v>
      </c>
      <c r="D682" s="216">
        <v>0</v>
      </c>
      <c r="E682" s="216">
        <v>0</v>
      </c>
      <c r="F682" s="63">
        <v>0</v>
      </c>
      <c r="G682" s="378">
        <f>'Office Minor'!G470</f>
        <v>0</v>
      </c>
      <c r="H682" s="217">
        <v>0</v>
      </c>
    </row>
    <row r="683" spans="1:11" s="432" customFormat="1" ht="17.100000000000001" customHeight="1" x14ac:dyDescent="0.25">
      <c r="A683" s="166">
        <v>30</v>
      </c>
      <c r="B683" s="433" t="s">
        <v>88</v>
      </c>
      <c r="C683" s="305">
        <v>0</v>
      </c>
      <c r="D683" s="305">
        <v>0</v>
      </c>
      <c r="E683" s="219">
        <v>0</v>
      </c>
      <c r="F683" s="305">
        <v>0</v>
      </c>
      <c r="G683" s="305">
        <f>'Office Minor'!G494</f>
        <v>30043920</v>
      </c>
      <c r="H683" s="305">
        <v>0</v>
      </c>
    </row>
    <row r="684" spans="1:11" s="432" customFormat="1" ht="17.100000000000001" customHeight="1" x14ac:dyDescent="0.25">
      <c r="A684" s="166">
        <v>31</v>
      </c>
      <c r="B684" s="433" t="s">
        <v>124</v>
      </c>
      <c r="C684" s="228">
        <v>0</v>
      </c>
      <c r="D684" s="228">
        <v>0</v>
      </c>
      <c r="E684" s="221">
        <v>0</v>
      </c>
      <c r="F684" s="228">
        <v>0</v>
      </c>
      <c r="G684" s="228">
        <f>'Office Minor'!G505</f>
        <v>1967000</v>
      </c>
      <c r="H684" s="228">
        <v>0</v>
      </c>
    </row>
    <row r="685" spans="1:11" s="432" customFormat="1" ht="17.100000000000001" customHeight="1" x14ac:dyDescent="0.25">
      <c r="A685" s="166">
        <v>32</v>
      </c>
      <c r="B685" s="433" t="s">
        <v>107</v>
      </c>
      <c r="C685" s="228">
        <v>0</v>
      </c>
      <c r="D685" s="221">
        <v>0</v>
      </c>
      <c r="E685" s="221">
        <v>0</v>
      </c>
      <c r="F685" s="166">
        <v>0</v>
      </c>
      <c r="G685" s="460">
        <f>'Office Minor'!G522</f>
        <v>7004362</v>
      </c>
      <c r="H685" s="460">
        <v>0</v>
      </c>
      <c r="K685" s="590"/>
    </row>
    <row r="686" spans="1:11" s="432" customFormat="1" ht="17.100000000000001" customHeight="1" x14ac:dyDescent="0.25">
      <c r="A686" s="166">
        <v>33</v>
      </c>
      <c r="B686" s="433" t="s">
        <v>89</v>
      </c>
      <c r="C686" s="228">
        <v>0</v>
      </c>
      <c r="D686" s="228">
        <v>0</v>
      </c>
      <c r="E686" s="228">
        <v>0</v>
      </c>
      <c r="F686" s="228">
        <v>0</v>
      </c>
      <c r="G686" s="314">
        <f>'Office Minor'!G540</f>
        <v>0</v>
      </c>
      <c r="H686" s="213">
        <v>0</v>
      </c>
    </row>
    <row r="687" spans="1:11" s="432" customFormat="1" ht="17.100000000000001" customHeight="1" x14ac:dyDescent="0.25">
      <c r="A687" s="166">
        <v>34</v>
      </c>
      <c r="B687" s="433" t="s">
        <v>108</v>
      </c>
      <c r="C687" s="217">
        <v>0</v>
      </c>
      <c r="D687" s="217">
        <v>0</v>
      </c>
      <c r="E687" s="216">
        <v>0</v>
      </c>
      <c r="F687" s="63">
        <v>0</v>
      </c>
      <c r="G687" s="217">
        <f>'Office Minor'!G558</f>
        <v>52488803</v>
      </c>
      <c r="H687" s="217">
        <v>0</v>
      </c>
    </row>
    <row r="688" spans="1:11" s="432" customFormat="1" ht="17.100000000000001" customHeight="1" x14ac:dyDescent="0.25">
      <c r="A688" s="166">
        <v>35</v>
      </c>
      <c r="B688" s="214" t="s">
        <v>111</v>
      </c>
      <c r="C688" s="217">
        <v>0</v>
      </c>
      <c r="D688" s="216">
        <v>0</v>
      </c>
      <c r="E688" s="216">
        <v>0</v>
      </c>
      <c r="F688" s="63">
        <v>0</v>
      </c>
      <c r="G688" s="221">
        <f>'Office Minor'!G577</f>
        <v>12377515</v>
      </c>
      <c r="H688" s="221">
        <v>0</v>
      </c>
    </row>
    <row r="689" spans="1:11" s="432" customFormat="1" ht="17.100000000000001" customHeight="1" x14ac:dyDescent="0.25">
      <c r="A689" s="166">
        <v>36</v>
      </c>
      <c r="B689" s="433" t="s">
        <v>98</v>
      </c>
      <c r="C689" s="221">
        <v>0</v>
      </c>
      <c r="D689" s="221">
        <v>0</v>
      </c>
      <c r="E689" s="216">
        <v>0</v>
      </c>
      <c r="F689" s="63">
        <v>0</v>
      </c>
      <c r="G689" s="221">
        <f>'Office Minor'!G592</f>
        <v>9674000</v>
      </c>
      <c r="H689" s="221">
        <v>0</v>
      </c>
      <c r="K689" s="590"/>
    </row>
    <row r="690" spans="1:11" s="432" customFormat="1" ht="17.100000000000001" customHeight="1" x14ac:dyDescent="0.25">
      <c r="A690" s="166">
        <v>37</v>
      </c>
      <c r="B690" s="433" t="s">
        <v>90</v>
      </c>
      <c r="C690" s="217">
        <v>0</v>
      </c>
      <c r="D690" s="216">
        <v>0</v>
      </c>
      <c r="E690" s="216">
        <v>0</v>
      </c>
      <c r="F690" s="63">
        <v>0</v>
      </c>
      <c r="G690" s="221">
        <f>'Office Minor'!G610</f>
        <v>30782000</v>
      </c>
      <c r="H690" s="221">
        <v>0</v>
      </c>
    </row>
    <row r="691" spans="1:11" s="432" customFormat="1" ht="17.100000000000001" customHeight="1" x14ac:dyDescent="0.25">
      <c r="A691" s="166">
        <v>38</v>
      </c>
      <c r="B691" s="433" t="s">
        <v>120</v>
      </c>
      <c r="C691" s="383">
        <v>0</v>
      </c>
      <c r="D691" s="219">
        <v>0</v>
      </c>
      <c r="E691" s="225">
        <v>0</v>
      </c>
      <c r="F691" s="284">
        <v>0</v>
      </c>
      <c r="G691" s="283">
        <f>'Office Minor'!G623</f>
        <v>103967</v>
      </c>
      <c r="H691" s="383">
        <v>0</v>
      </c>
    </row>
    <row r="692" spans="1:11" s="432" customFormat="1" ht="17.100000000000001" customHeight="1" x14ac:dyDescent="0.25">
      <c r="A692" s="166">
        <v>39</v>
      </c>
      <c r="B692" s="433" t="s">
        <v>127</v>
      </c>
      <c r="C692" s="305">
        <v>0</v>
      </c>
      <c r="D692" s="219">
        <v>0</v>
      </c>
      <c r="E692" s="219">
        <v>0</v>
      </c>
      <c r="F692" s="203">
        <v>0</v>
      </c>
      <c r="G692" s="221">
        <f>'Office Minor'!G634</f>
        <v>1517863</v>
      </c>
      <c r="H692" s="221">
        <v>0</v>
      </c>
    </row>
    <row r="693" spans="1:11" s="432" customFormat="1" ht="17.100000000000001" customHeight="1" x14ac:dyDescent="0.25">
      <c r="A693" s="166">
        <v>40</v>
      </c>
      <c r="B693" s="433" t="s">
        <v>389</v>
      </c>
      <c r="C693" s="228">
        <v>0</v>
      </c>
      <c r="D693" s="221">
        <v>0</v>
      </c>
      <c r="E693" s="221">
        <v>0</v>
      </c>
      <c r="F693" s="166">
        <v>0</v>
      </c>
      <c r="G693" s="458">
        <f>'Office Minor'!G649</f>
        <v>1955876</v>
      </c>
      <c r="H693" s="221"/>
    </row>
    <row r="694" spans="1:11" s="432" customFormat="1" ht="17.100000000000001" customHeight="1" x14ac:dyDescent="0.25">
      <c r="A694" s="166">
        <v>41</v>
      </c>
      <c r="B694" s="462" t="s">
        <v>99</v>
      </c>
      <c r="C694" s="463">
        <v>0</v>
      </c>
      <c r="D694" s="463">
        <v>0</v>
      </c>
      <c r="E694" s="227">
        <v>0</v>
      </c>
      <c r="F694" s="236">
        <v>0</v>
      </c>
      <c r="G694" s="217">
        <f>'Office Minor'!G666</f>
        <v>1259000</v>
      </c>
      <c r="H694" s="221">
        <v>0</v>
      </c>
    </row>
    <row r="695" spans="1:11" s="432" customFormat="1" ht="17.100000000000001" customHeight="1" x14ac:dyDescent="0.25">
      <c r="A695" s="166">
        <v>42</v>
      </c>
      <c r="B695" s="464" t="s">
        <v>376</v>
      </c>
      <c r="C695" s="221">
        <v>0</v>
      </c>
      <c r="D695" s="221">
        <v>0</v>
      </c>
      <c r="E695" s="221">
        <v>0</v>
      </c>
      <c r="F695" s="465">
        <v>0</v>
      </c>
      <c r="G695" s="373">
        <f>'Office Minor'!G699</f>
        <v>6937013</v>
      </c>
      <c r="H695" s="221">
        <v>0</v>
      </c>
    </row>
    <row r="696" spans="1:11" s="432" customFormat="1" ht="17.100000000000001" customHeight="1" x14ac:dyDescent="0.25">
      <c r="A696" s="166">
        <v>43</v>
      </c>
      <c r="B696" s="466" t="s">
        <v>100</v>
      </c>
      <c r="C696" s="308">
        <v>0</v>
      </c>
      <c r="D696" s="308">
        <v>0</v>
      </c>
      <c r="E696" s="308">
        <v>0</v>
      </c>
      <c r="F696" s="308">
        <v>0</v>
      </c>
      <c r="G696" s="308">
        <f>'Office Minor'!G722</f>
        <v>14797100</v>
      </c>
      <c r="H696" s="308">
        <v>0</v>
      </c>
    </row>
    <row r="697" spans="1:11" s="432" customFormat="1" ht="17.100000000000001" customHeight="1" x14ac:dyDescent="0.25">
      <c r="A697" s="166">
        <v>44</v>
      </c>
      <c r="B697" s="433" t="s">
        <v>91</v>
      </c>
      <c r="C697" s="221">
        <v>0</v>
      </c>
      <c r="D697" s="221">
        <v>0</v>
      </c>
      <c r="E697" s="216">
        <v>0</v>
      </c>
      <c r="F697" s="63">
        <v>0</v>
      </c>
      <c r="G697" s="395">
        <f>'Office Minor'!G740</f>
        <v>27228078</v>
      </c>
      <c r="H697" s="137">
        <v>0</v>
      </c>
    </row>
    <row r="698" spans="1:11" s="432" customFormat="1" ht="17.100000000000001" customHeight="1" x14ac:dyDescent="0.25">
      <c r="A698" s="166">
        <v>45</v>
      </c>
      <c r="B698" s="433" t="s">
        <v>139</v>
      </c>
      <c r="C698" s="216">
        <v>0</v>
      </c>
      <c r="D698" s="467">
        <v>0</v>
      </c>
      <c r="E698" s="228">
        <v>0</v>
      </c>
      <c r="F698" s="228">
        <v>0</v>
      </c>
      <c r="G698" s="304">
        <f>'Office Minor'!G759</f>
        <v>18725636</v>
      </c>
      <c r="H698" s="143">
        <v>0</v>
      </c>
    </row>
    <row r="699" spans="1:11" s="432" customFormat="1" ht="17.100000000000001" customHeight="1" x14ac:dyDescent="0.25">
      <c r="A699" s="166">
        <v>46</v>
      </c>
      <c r="B699" s="433" t="s">
        <v>209</v>
      </c>
      <c r="C699" s="377">
        <v>0</v>
      </c>
      <c r="D699" s="377">
        <v>0</v>
      </c>
      <c r="E699" s="219">
        <v>0</v>
      </c>
      <c r="F699" s="203">
        <v>0</v>
      </c>
      <c r="G699" s="364">
        <f>'Office Minor'!G768</f>
        <v>559964</v>
      </c>
      <c r="H699" s="144">
        <v>0</v>
      </c>
    </row>
    <row r="700" spans="1:11" s="432" customFormat="1" ht="17.100000000000001" customHeight="1" x14ac:dyDescent="0.25">
      <c r="A700" s="166">
        <v>47</v>
      </c>
      <c r="B700" s="433" t="s">
        <v>405</v>
      </c>
      <c r="C700" s="221">
        <v>0</v>
      </c>
      <c r="D700" s="221">
        <v>0</v>
      </c>
      <c r="E700" s="221">
        <v>0</v>
      </c>
      <c r="F700" s="166">
        <v>0</v>
      </c>
      <c r="G700" s="251">
        <f>'Office Minor'!G683</f>
        <v>11347361</v>
      </c>
      <c r="H700" s="137">
        <v>0</v>
      </c>
      <c r="K700" s="590"/>
    </row>
    <row r="701" spans="1:11" s="432" customFormat="1" ht="17.100000000000001" customHeight="1" x14ac:dyDescent="0.25">
      <c r="A701" s="166">
        <v>48</v>
      </c>
      <c r="B701" s="433" t="s">
        <v>116</v>
      </c>
      <c r="C701" s="378">
        <f>'Office Minor'!C785</f>
        <v>0</v>
      </c>
      <c r="D701" s="378">
        <f>'Office Minor'!D785</f>
        <v>0</v>
      </c>
      <c r="E701" s="378">
        <f>'Office Minor'!E785</f>
        <v>0</v>
      </c>
      <c r="F701" s="378">
        <f>'Office Minor'!F785</f>
        <v>0</v>
      </c>
      <c r="G701" s="378">
        <f>'Office Minor'!G785</f>
        <v>15833452</v>
      </c>
      <c r="H701" s="378">
        <f>'Office Minor'!H785</f>
        <v>0</v>
      </c>
    </row>
    <row r="702" spans="1:11" s="432" customFormat="1" ht="17.100000000000001" customHeight="1" x14ac:dyDescent="0.25">
      <c r="A702" s="166">
        <v>49</v>
      </c>
      <c r="B702" s="433" t="s">
        <v>83</v>
      </c>
      <c r="C702" s="221">
        <v>0</v>
      </c>
      <c r="D702" s="221">
        <v>0</v>
      </c>
      <c r="E702" s="216">
        <v>0</v>
      </c>
      <c r="F702" s="63">
        <v>0</v>
      </c>
      <c r="G702" s="137">
        <f>'Office Minor'!G811</f>
        <v>1011000</v>
      </c>
      <c r="H702" s="221">
        <v>0</v>
      </c>
    </row>
    <row r="703" spans="1:11" s="432" customFormat="1" ht="17.100000000000001" customHeight="1" x14ac:dyDescent="0.25">
      <c r="A703" s="468"/>
      <c r="B703" s="469" t="s">
        <v>50</v>
      </c>
      <c r="C703" s="261">
        <f>SUM(C654:C702)</f>
        <v>0</v>
      </c>
      <c r="D703" s="261">
        <f t="shared" ref="D703:H703" si="49">SUM(D654:D702)</f>
        <v>0</v>
      </c>
      <c r="E703" s="261">
        <f t="shared" si="49"/>
        <v>0</v>
      </c>
      <c r="F703" s="261">
        <f t="shared" si="49"/>
        <v>0</v>
      </c>
      <c r="G703" s="261">
        <f t="shared" si="49"/>
        <v>1149489469</v>
      </c>
      <c r="H703" s="261">
        <f t="shared" si="49"/>
        <v>0</v>
      </c>
    </row>
    <row r="704" spans="1:11" s="432" customFormat="1" ht="17.100000000000001" customHeight="1" x14ac:dyDescent="0.25">
      <c r="A704" s="21"/>
      <c r="B704" s="21"/>
      <c r="C704" s="21"/>
      <c r="D704" s="21"/>
      <c r="E704" s="21"/>
      <c r="F704" s="21"/>
      <c r="G704" s="21"/>
      <c r="H704" s="21"/>
    </row>
    <row r="705" spans="1:8" s="432" customFormat="1" ht="17.100000000000001" customHeight="1" x14ac:dyDescent="0.25">
      <c r="A705" s="1149" t="s">
        <v>49</v>
      </c>
      <c r="B705" s="1149"/>
      <c r="C705" s="1149"/>
      <c r="D705" s="1149"/>
      <c r="E705" s="1149"/>
      <c r="F705" s="1149"/>
      <c r="G705" s="1149"/>
      <c r="H705" s="1149"/>
    </row>
    <row r="706" spans="1:8" s="432" customFormat="1" ht="17.100000000000001" customHeight="1" x14ac:dyDescent="0.25">
      <c r="A706" s="1122" t="s">
        <v>2</v>
      </c>
      <c r="B706" s="1124" t="s">
        <v>77</v>
      </c>
      <c r="C706" s="249" t="s">
        <v>4</v>
      </c>
      <c r="D706" s="249" t="s">
        <v>5</v>
      </c>
      <c r="E706" s="249" t="s">
        <v>6</v>
      </c>
      <c r="F706" s="249" t="s">
        <v>7</v>
      </c>
      <c r="G706" s="249" t="s">
        <v>8</v>
      </c>
      <c r="H706" s="249" t="s">
        <v>9</v>
      </c>
    </row>
    <row r="707" spans="1:8" s="432" customFormat="1" ht="17.100000000000001" customHeight="1" x14ac:dyDescent="0.25">
      <c r="A707" s="1123"/>
      <c r="B707" s="1125"/>
      <c r="C707" s="2" t="s">
        <v>10</v>
      </c>
      <c r="D707" s="2" t="s">
        <v>52</v>
      </c>
      <c r="E707" s="2" t="s">
        <v>79</v>
      </c>
      <c r="F707" s="52" t="s">
        <v>80</v>
      </c>
      <c r="G707" s="52" t="s">
        <v>80</v>
      </c>
      <c r="H707" s="2" t="s">
        <v>13</v>
      </c>
    </row>
    <row r="708" spans="1:8" s="432" customFormat="1" ht="17.100000000000001" customHeight="1" x14ac:dyDescent="0.25">
      <c r="A708" s="470">
        <v>1</v>
      </c>
      <c r="B708" s="471" t="s">
        <v>138</v>
      </c>
      <c r="C708" s="63">
        <f>'Office Minor'!C19</f>
        <v>0</v>
      </c>
      <c r="D708" s="63">
        <f>'Office Minor'!D19</f>
        <v>0</v>
      </c>
      <c r="E708" s="63">
        <f>'Office Minor'!E19</f>
        <v>0</v>
      </c>
      <c r="F708" s="63">
        <f>'Office Minor'!F19</f>
        <v>0</v>
      </c>
      <c r="G708" s="63">
        <f>'Office Minor'!G19</f>
        <v>30902</v>
      </c>
      <c r="H708" s="63">
        <f>'Office Minor'!H19</f>
        <v>0</v>
      </c>
    </row>
    <row r="709" spans="1:8" s="432" customFormat="1" ht="17.100000000000001" customHeight="1" x14ac:dyDescent="0.25">
      <c r="A709" s="470">
        <v>2</v>
      </c>
      <c r="B709" s="471" t="s">
        <v>92</v>
      </c>
      <c r="C709" s="63">
        <v>0</v>
      </c>
      <c r="D709" s="216">
        <v>0</v>
      </c>
      <c r="E709" s="217">
        <v>0</v>
      </c>
      <c r="F709" s="217">
        <v>0</v>
      </c>
      <c r="G709" s="217">
        <f>'Office Minor'!G36</f>
        <v>199316110</v>
      </c>
      <c r="H709" s="143">
        <v>0</v>
      </c>
    </row>
    <row r="710" spans="1:8" s="432" customFormat="1" ht="17.100000000000001" customHeight="1" x14ac:dyDescent="0.25">
      <c r="A710" s="470">
        <v>3</v>
      </c>
      <c r="B710" s="471" t="s">
        <v>86</v>
      </c>
      <c r="C710" s="63">
        <v>0</v>
      </c>
      <c r="D710" s="228">
        <v>0</v>
      </c>
      <c r="E710" s="228">
        <v>0</v>
      </c>
      <c r="F710" s="228">
        <v>0</v>
      </c>
      <c r="G710" s="228">
        <f>'Office Minor'!G54</f>
        <v>387600000</v>
      </c>
      <c r="H710" s="166">
        <v>0</v>
      </c>
    </row>
    <row r="711" spans="1:8" s="432" customFormat="1" ht="17.100000000000001" customHeight="1" x14ac:dyDescent="0.25">
      <c r="A711" s="470">
        <v>4</v>
      </c>
      <c r="B711" s="471" t="s">
        <v>191</v>
      </c>
      <c r="C711" s="63">
        <v>0</v>
      </c>
      <c r="D711" s="228"/>
      <c r="E711" s="228"/>
      <c r="F711" s="228"/>
      <c r="G711" s="228">
        <f>'Office Minor'!G135</f>
        <v>13103829</v>
      </c>
      <c r="H711" s="166"/>
    </row>
    <row r="712" spans="1:8" s="432" customFormat="1" ht="17.100000000000001" customHeight="1" x14ac:dyDescent="0.25">
      <c r="A712" s="470">
        <v>5</v>
      </c>
      <c r="B712" s="471" t="s">
        <v>145</v>
      </c>
      <c r="C712" s="63">
        <v>0</v>
      </c>
      <c r="D712" s="228">
        <v>0</v>
      </c>
      <c r="E712" s="221">
        <v>0</v>
      </c>
      <c r="F712" s="228">
        <v>0</v>
      </c>
      <c r="G712" s="284">
        <f>'Office Minor'!G68</f>
        <v>62082893</v>
      </c>
      <c r="H712" s="228">
        <v>0</v>
      </c>
    </row>
    <row r="713" spans="1:8" s="432" customFormat="1" ht="17.100000000000001" customHeight="1" x14ac:dyDescent="0.25">
      <c r="A713" s="470">
        <v>6</v>
      </c>
      <c r="B713" s="471" t="s">
        <v>150</v>
      </c>
      <c r="C713" s="63">
        <v>0</v>
      </c>
      <c r="D713" s="221">
        <v>0</v>
      </c>
      <c r="E713" s="221">
        <v>0</v>
      </c>
      <c r="F713" s="228">
        <v>0</v>
      </c>
      <c r="G713" s="228">
        <f>'Office Minor'!G84</f>
        <v>91333372</v>
      </c>
      <c r="H713" s="228">
        <v>0</v>
      </c>
    </row>
    <row r="714" spans="1:8" s="432" customFormat="1" ht="17.100000000000001" customHeight="1" x14ac:dyDescent="0.25">
      <c r="A714" s="470">
        <v>7</v>
      </c>
      <c r="B714" s="471" t="s">
        <v>140</v>
      </c>
      <c r="C714" s="63">
        <v>0</v>
      </c>
      <c r="D714" s="221">
        <v>0</v>
      </c>
      <c r="E714" s="221">
        <v>0</v>
      </c>
      <c r="F714" s="221">
        <v>0</v>
      </c>
      <c r="G714" s="204">
        <f>'Office Minor'!G97</f>
        <v>25869321</v>
      </c>
      <c r="H714" s="137">
        <v>0</v>
      </c>
    </row>
    <row r="715" spans="1:8" s="432" customFormat="1" ht="17.100000000000001" customHeight="1" x14ac:dyDescent="0.25">
      <c r="A715" s="470">
        <v>8</v>
      </c>
      <c r="B715" s="471" t="s">
        <v>151</v>
      </c>
      <c r="C715" s="63">
        <v>0</v>
      </c>
      <c r="D715" s="221">
        <v>0</v>
      </c>
      <c r="E715" s="221">
        <v>0</v>
      </c>
      <c r="F715" s="228">
        <v>0</v>
      </c>
      <c r="G715" s="228">
        <f>'Office Minor'!G117</f>
        <v>99083920</v>
      </c>
      <c r="H715" s="228">
        <v>0</v>
      </c>
    </row>
    <row r="716" spans="1:8" s="432" customFormat="1" ht="17.100000000000001" customHeight="1" x14ac:dyDescent="0.25">
      <c r="A716" s="470">
        <v>9</v>
      </c>
      <c r="B716" s="471" t="s">
        <v>141</v>
      </c>
      <c r="C716" s="63">
        <v>0</v>
      </c>
      <c r="D716" s="228">
        <v>0</v>
      </c>
      <c r="E716" s="221">
        <v>0</v>
      </c>
      <c r="F716" s="228">
        <v>0</v>
      </c>
      <c r="G716" s="228">
        <f>'Office Minor'!G151</f>
        <v>1798484</v>
      </c>
      <c r="H716" s="228">
        <v>0</v>
      </c>
    </row>
    <row r="717" spans="1:8" s="432" customFormat="1" ht="17.100000000000001" customHeight="1" x14ac:dyDescent="0.25">
      <c r="A717" s="470">
        <v>10</v>
      </c>
      <c r="B717" s="471" t="s">
        <v>113</v>
      </c>
      <c r="C717" s="63">
        <v>0</v>
      </c>
      <c r="D717" s="221">
        <v>0</v>
      </c>
      <c r="E717" s="221">
        <v>0</v>
      </c>
      <c r="F717" s="472">
        <v>0</v>
      </c>
      <c r="G717" s="228">
        <f>'Office Minor'!G162</f>
        <v>90370981</v>
      </c>
      <c r="H717" s="228">
        <v>0</v>
      </c>
    </row>
    <row r="718" spans="1:8" s="432" customFormat="1" ht="17.100000000000001" customHeight="1" x14ac:dyDescent="0.25">
      <c r="A718" s="470">
        <v>11</v>
      </c>
      <c r="B718" s="471" t="s">
        <v>81</v>
      </c>
      <c r="C718" s="63">
        <v>0</v>
      </c>
      <c r="D718" s="228">
        <v>0</v>
      </c>
      <c r="E718" s="228">
        <v>0</v>
      </c>
      <c r="F718" s="228">
        <v>0</v>
      </c>
      <c r="G718" s="228">
        <f>'Office Minor'!G186</f>
        <v>256621116</v>
      </c>
      <c r="H718" s="137">
        <v>0</v>
      </c>
    </row>
    <row r="719" spans="1:8" s="432" customFormat="1" ht="17.100000000000001" customHeight="1" x14ac:dyDescent="0.25">
      <c r="A719" s="470">
        <v>12</v>
      </c>
      <c r="B719" s="471" t="s">
        <v>96</v>
      </c>
      <c r="C719" s="63">
        <v>0</v>
      </c>
      <c r="D719" s="221">
        <v>0</v>
      </c>
      <c r="E719" s="221">
        <v>0</v>
      </c>
      <c r="F719" s="228">
        <v>0</v>
      </c>
      <c r="G719" s="228">
        <f>'Office Minor'!G201</f>
        <v>160367233</v>
      </c>
      <c r="H719" s="228">
        <v>0</v>
      </c>
    </row>
    <row r="720" spans="1:8" s="432" customFormat="1" ht="17.100000000000001" customHeight="1" x14ac:dyDescent="0.25">
      <c r="A720" s="470">
        <v>13</v>
      </c>
      <c r="B720" s="471" t="s">
        <v>152</v>
      </c>
      <c r="C720" s="63">
        <v>0</v>
      </c>
      <c r="D720" s="216">
        <v>0</v>
      </c>
      <c r="E720" s="216">
        <v>0</v>
      </c>
      <c r="F720" s="217">
        <v>0</v>
      </c>
      <c r="G720" s="217">
        <f>'Office Minor'!G209</f>
        <v>0</v>
      </c>
      <c r="H720" s="217">
        <v>0</v>
      </c>
    </row>
    <row r="721" spans="1:8" s="432" customFormat="1" ht="17.100000000000001" customHeight="1" x14ac:dyDescent="0.25">
      <c r="A721" s="470">
        <v>14</v>
      </c>
      <c r="B721" s="471" t="s">
        <v>103</v>
      </c>
      <c r="C721" s="63">
        <v>0</v>
      </c>
      <c r="D721" s="63">
        <f>'Office Minor'!D226</f>
        <v>0</v>
      </c>
      <c r="E721" s="63">
        <f>'Office Minor'!E226</f>
        <v>0</v>
      </c>
      <c r="F721" s="63">
        <f>'Office Minor'!F226</f>
        <v>0</v>
      </c>
      <c r="G721" s="63">
        <f>'Office Minor'!G226</f>
        <v>0</v>
      </c>
      <c r="H721" s="63">
        <f>'Office Minor'!H226</f>
        <v>0</v>
      </c>
    </row>
    <row r="722" spans="1:8" s="432" customFormat="1" ht="17.100000000000001" customHeight="1" x14ac:dyDescent="0.25">
      <c r="A722" s="470">
        <v>15</v>
      </c>
      <c r="B722" s="471" t="s">
        <v>104</v>
      </c>
      <c r="C722" s="63">
        <v>0</v>
      </c>
      <c r="D722" s="216">
        <v>0</v>
      </c>
      <c r="E722" s="216">
        <v>0</v>
      </c>
      <c r="F722" s="216">
        <v>0</v>
      </c>
      <c r="G722" s="198">
        <f>'Office Minor'!G264</f>
        <v>42699048</v>
      </c>
      <c r="H722" s="216">
        <v>0</v>
      </c>
    </row>
    <row r="723" spans="1:8" s="432" customFormat="1" ht="17.100000000000001" customHeight="1" x14ac:dyDescent="0.25">
      <c r="A723" s="470">
        <v>16</v>
      </c>
      <c r="B723" s="471" t="s">
        <v>377</v>
      </c>
      <c r="C723" s="63">
        <v>0</v>
      </c>
      <c r="D723" s="216">
        <v>0</v>
      </c>
      <c r="E723" s="216">
        <v>0</v>
      </c>
      <c r="F723" s="216">
        <v>0</v>
      </c>
      <c r="G723" s="297">
        <f>'Office Minor'!G238</f>
        <v>0</v>
      </c>
      <c r="H723" s="216">
        <v>0</v>
      </c>
    </row>
    <row r="724" spans="1:8" s="432" customFormat="1" ht="17.100000000000001" customHeight="1" x14ac:dyDescent="0.25">
      <c r="A724" s="470">
        <v>17</v>
      </c>
      <c r="B724" s="471" t="s">
        <v>110</v>
      </c>
      <c r="C724" s="63">
        <v>0</v>
      </c>
      <c r="D724" s="63">
        <v>0</v>
      </c>
      <c r="E724" s="63">
        <v>0</v>
      </c>
      <c r="F724" s="63">
        <v>0</v>
      </c>
      <c r="G724" s="297">
        <f>'Office Minor'!G284</f>
        <v>0</v>
      </c>
      <c r="H724" s="63">
        <v>0</v>
      </c>
    </row>
    <row r="725" spans="1:8" s="432" customFormat="1" ht="17.100000000000001" customHeight="1" x14ac:dyDescent="0.25">
      <c r="A725" s="470">
        <v>18</v>
      </c>
      <c r="B725" s="471" t="s">
        <v>134</v>
      </c>
      <c r="C725" s="63">
        <v>0</v>
      </c>
      <c r="D725" s="216">
        <v>0</v>
      </c>
      <c r="E725" s="216">
        <v>0</v>
      </c>
      <c r="F725" s="216">
        <v>0</v>
      </c>
      <c r="G725" s="198">
        <f>'Office Minor'!G295</f>
        <v>21343000</v>
      </c>
      <c r="H725" s="216">
        <v>0</v>
      </c>
    </row>
    <row r="726" spans="1:8" s="432" customFormat="1" ht="17.100000000000001" customHeight="1" x14ac:dyDescent="0.25">
      <c r="A726" s="470">
        <v>19</v>
      </c>
      <c r="B726" s="471" t="s">
        <v>153</v>
      </c>
      <c r="C726" s="63">
        <v>0</v>
      </c>
      <c r="D726" s="216">
        <v>0</v>
      </c>
      <c r="E726" s="216">
        <v>0</v>
      </c>
      <c r="F726" s="216">
        <v>0</v>
      </c>
      <c r="G726" s="216">
        <f>'Office Minor'!G309</f>
        <v>24480879</v>
      </c>
      <c r="H726" s="216">
        <v>0</v>
      </c>
    </row>
    <row r="727" spans="1:8" s="432" customFormat="1" ht="17.100000000000001" customHeight="1" x14ac:dyDescent="0.25">
      <c r="A727" s="470">
        <v>20</v>
      </c>
      <c r="B727" s="471" t="s">
        <v>105</v>
      </c>
      <c r="C727" s="63">
        <f>'Office Minor'!C324</f>
        <v>0</v>
      </c>
      <c r="D727" s="63">
        <f>'Office Minor'!D324</f>
        <v>0</v>
      </c>
      <c r="E727" s="63">
        <f>'Office Minor'!E324</f>
        <v>0</v>
      </c>
      <c r="F727" s="63">
        <f>'Office Minor'!F324</f>
        <v>0</v>
      </c>
      <c r="G727" s="63">
        <f>'Office Minor'!G324</f>
        <v>55337668</v>
      </c>
      <c r="H727" s="63">
        <f>'Office Minor'!H324</f>
        <v>0</v>
      </c>
    </row>
    <row r="728" spans="1:8" s="432" customFormat="1" ht="17.100000000000001" customHeight="1" x14ac:dyDescent="0.25">
      <c r="A728" s="470">
        <v>21</v>
      </c>
      <c r="B728" s="471" t="s">
        <v>117</v>
      </c>
      <c r="C728" s="63">
        <v>0</v>
      </c>
      <c r="D728" s="216">
        <v>0</v>
      </c>
      <c r="E728" s="216">
        <v>0</v>
      </c>
      <c r="F728" s="217">
        <v>0</v>
      </c>
      <c r="G728" s="217">
        <f>'Office Minor'!G334</f>
        <v>19651697</v>
      </c>
      <c r="H728" s="217">
        <v>0</v>
      </c>
    </row>
    <row r="729" spans="1:8" s="432" customFormat="1" ht="17.100000000000001" customHeight="1" x14ac:dyDescent="0.25">
      <c r="A729" s="470">
        <v>22</v>
      </c>
      <c r="B729" s="471" t="s">
        <v>154</v>
      </c>
      <c r="C729" s="63">
        <v>0</v>
      </c>
      <c r="D729" s="216">
        <v>0</v>
      </c>
      <c r="E729" s="216">
        <v>0</v>
      </c>
      <c r="F729" s="217">
        <v>0</v>
      </c>
      <c r="G729" s="217">
        <f>'Office Minor'!G355</f>
        <v>280977437</v>
      </c>
      <c r="H729" s="217">
        <v>0</v>
      </c>
    </row>
    <row r="730" spans="1:8" s="432" customFormat="1" ht="17.100000000000001" customHeight="1" x14ac:dyDescent="0.25">
      <c r="A730" s="470">
        <v>23</v>
      </c>
      <c r="B730" s="471" t="s">
        <v>87</v>
      </c>
      <c r="C730" s="63">
        <v>0</v>
      </c>
      <c r="D730" s="217">
        <v>0</v>
      </c>
      <c r="E730" s="216">
        <v>0</v>
      </c>
      <c r="F730" s="217">
        <v>0</v>
      </c>
      <c r="G730" s="217">
        <f>'Office Minor'!G376</f>
        <v>290374245</v>
      </c>
      <c r="H730" s="217">
        <v>0</v>
      </c>
    </row>
    <row r="731" spans="1:8" s="432" customFormat="1" ht="17.100000000000001" customHeight="1" x14ac:dyDescent="0.25">
      <c r="A731" s="470">
        <v>24</v>
      </c>
      <c r="B731" s="471" t="s">
        <v>97</v>
      </c>
      <c r="C731" s="63">
        <v>0</v>
      </c>
      <c r="D731" s="216">
        <v>0</v>
      </c>
      <c r="E731" s="229">
        <v>0</v>
      </c>
      <c r="F731" s="376">
        <v>0</v>
      </c>
      <c r="G731" s="370">
        <f>'Office Minor'!G390</f>
        <v>158667357</v>
      </c>
      <c r="H731" s="217">
        <v>0</v>
      </c>
    </row>
    <row r="732" spans="1:8" s="432" customFormat="1" ht="17.100000000000001" customHeight="1" x14ac:dyDescent="0.25">
      <c r="A732" s="470">
        <v>25</v>
      </c>
      <c r="B732" s="471" t="s">
        <v>128</v>
      </c>
      <c r="C732" s="63">
        <v>0</v>
      </c>
      <c r="D732" s="223">
        <v>0</v>
      </c>
      <c r="E732" s="223">
        <v>0</v>
      </c>
      <c r="F732" s="375">
        <v>0</v>
      </c>
      <c r="G732" s="375">
        <f>'Office Minor'!G405</f>
        <v>67820000</v>
      </c>
      <c r="H732" s="376">
        <v>0</v>
      </c>
    </row>
    <row r="733" spans="1:8" s="432" customFormat="1" ht="17.100000000000001" customHeight="1" x14ac:dyDescent="0.25">
      <c r="A733" s="470">
        <v>26</v>
      </c>
      <c r="B733" s="471" t="s">
        <v>84</v>
      </c>
      <c r="C733" s="63">
        <v>0</v>
      </c>
      <c r="D733" s="216">
        <v>0</v>
      </c>
      <c r="E733" s="216">
        <v>0</v>
      </c>
      <c r="F733" s="216">
        <v>0</v>
      </c>
      <c r="G733" s="473">
        <f>'Office Minor'!G424</f>
        <v>285830000</v>
      </c>
      <c r="H733" s="216">
        <v>0</v>
      </c>
    </row>
    <row r="734" spans="1:8" s="432" customFormat="1" ht="17.100000000000001" customHeight="1" x14ac:dyDescent="0.25">
      <c r="A734" s="470">
        <v>27</v>
      </c>
      <c r="B734" s="471" t="s">
        <v>118</v>
      </c>
      <c r="C734" s="63">
        <v>0</v>
      </c>
      <c r="D734" s="216">
        <v>0</v>
      </c>
      <c r="E734" s="216">
        <v>0</v>
      </c>
      <c r="F734" s="217">
        <v>0</v>
      </c>
      <c r="G734" s="217">
        <f>'Office Minor'!G439</f>
        <v>166068000</v>
      </c>
      <c r="H734" s="382">
        <v>0</v>
      </c>
    </row>
    <row r="735" spans="1:8" s="432" customFormat="1" ht="17.100000000000001" customHeight="1" x14ac:dyDescent="0.25">
      <c r="A735" s="470">
        <v>28</v>
      </c>
      <c r="B735" s="471" t="s">
        <v>136</v>
      </c>
      <c r="C735" s="63">
        <v>0</v>
      </c>
      <c r="D735" s="216">
        <v>0</v>
      </c>
      <c r="E735" s="216">
        <v>0</v>
      </c>
      <c r="F735" s="217">
        <v>0</v>
      </c>
      <c r="G735" s="217">
        <f>'Office Minor'!G457</f>
        <v>56879819</v>
      </c>
      <c r="H735" s="217">
        <v>0</v>
      </c>
    </row>
    <row r="736" spans="1:8" s="432" customFormat="1" ht="17.100000000000001" customHeight="1" x14ac:dyDescent="0.25">
      <c r="A736" s="470">
        <v>29</v>
      </c>
      <c r="B736" s="471" t="s">
        <v>119</v>
      </c>
      <c r="C736" s="63">
        <v>0</v>
      </c>
      <c r="D736" s="216">
        <v>0</v>
      </c>
      <c r="E736" s="216">
        <v>0</v>
      </c>
      <c r="F736" s="217">
        <v>0</v>
      </c>
      <c r="G736" s="305">
        <f>'Office Minor'!G471</f>
        <v>60408300</v>
      </c>
      <c r="H736" s="305">
        <v>0</v>
      </c>
    </row>
    <row r="737" spans="1:8" s="432" customFormat="1" ht="17.100000000000001" customHeight="1" x14ac:dyDescent="0.25">
      <c r="A737" s="470">
        <v>30</v>
      </c>
      <c r="B737" s="471" t="s">
        <v>88</v>
      </c>
      <c r="C737" s="63">
        <v>0</v>
      </c>
      <c r="D737" s="203">
        <f>'Office Minor'!D493</f>
        <v>0</v>
      </c>
      <c r="E737" s="203">
        <f>'Office Minor'!E493</f>
        <v>0</v>
      </c>
      <c r="F737" s="203">
        <f>'Office Minor'!F493</f>
        <v>0</v>
      </c>
      <c r="G737" s="203">
        <f>'Office Minor'!G493</f>
        <v>0</v>
      </c>
      <c r="H737" s="203">
        <f>'Office Minor'!H493</f>
        <v>0</v>
      </c>
    </row>
    <row r="738" spans="1:8" s="432" customFormat="1" ht="17.100000000000001" customHeight="1" x14ac:dyDescent="0.25">
      <c r="A738" s="470">
        <v>31</v>
      </c>
      <c r="B738" s="459" t="s">
        <v>388</v>
      </c>
      <c r="C738" s="63">
        <v>0</v>
      </c>
      <c r="D738" s="166">
        <v>0</v>
      </c>
      <c r="E738" s="166">
        <v>0</v>
      </c>
      <c r="F738" s="166">
        <v>0</v>
      </c>
      <c r="G738" s="228">
        <f>'Office Minor'!G506</f>
        <v>57692000</v>
      </c>
      <c r="H738" s="166">
        <v>0</v>
      </c>
    </row>
    <row r="739" spans="1:8" s="432" customFormat="1" ht="17.100000000000001" customHeight="1" x14ac:dyDescent="0.25">
      <c r="A739" s="470">
        <v>32</v>
      </c>
      <c r="B739" s="471" t="s">
        <v>107</v>
      </c>
      <c r="C739" s="63">
        <v>0</v>
      </c>
      <c r="D739" s="222">
        <v>0</v>
      </c>
      <c r="E739" s="222">
        <v>0</v>
      </c>
      <c r="F739" s="308">
        <v>0</v>
      </c>
      <c r="G739" s="308">
        <f>'Office Minor'!G523</f>
        <v>898908665</v>
      </c>
      <c r="H739" s="308">
        <v>0</v>
      </c>
    </row>
    <row r="740" spans="1:8" s="432" customFormat="1" ht="17.100000000000001" customHeight="1" x14ac:dyDescent="0.25">
      <c r="A740" s="470">
        <v>33</v>
      </c>
      <c r="B740" s="471" t="s">
        <v>89</v>
      </c>
      <c r="C740" s="63">
        <v>0</v>
      </c>
      <c r="D740" s="217">
        <v>0</v>
      </c>
      <c r="E740" s="217">
        <v>0</v>
      </c>
      <c r="F740" s="217">
        <v>0</v>
      </c>
      <c r="G740" s="252">
        <f>'Office Minor'!G541</f>
        <v>0</v>
      </c>
      <c r="H740" s="252">
        <v>0</v>
      </c>
    </row>
    <row r="741" spans="1:8" s="432" customFormat="1" ht="17.100000000000001" customHeight="1" x14ac:dyDescent="0.25">
      <c r="A741" s="470">
        <v>34</v>
      </c>
      <c r="B741" s="471" t="s">
        <v>108</v>
      </c>
      <c r="C741" s="63">
        <v>0</v>
      </c>
      <c r="D741" s="305">
        <v>0</v>
      </c>
      <c r="E741" s="305">
        <v>0</v>
      </c>
      <c r="F741" s="305">
        <v>0</v>
      </c>
      <c r="G741" s="305">
        <f>'Office Minor'!G559</f>
        <v>83017523</v>
      </c>
      <c r="H741" s="144">
        <v>0</v>
      </c>
    </row>
    <row r="742" spans="1:8" s="432" customFormat="1" ht="17.100000000000001" customHeight="1" x14ac:dyDescent="0.25">
      <c r="A742" s="470">
        <v>35</v>
      </c>
      <c r="B742" s="471" t="s">
        <v>111</v>
      </c>
      <c r="C742" s="63">
        <v>0</v>
      </c>
      <c r="D742" s="305">
        <v>0</v>
      </c>
      <c r="E742" s="219">
        <v>0</v>
      </c>
      <c r="F742" s="305">
        <v>0</v>
      </c>
      <c r="G742" s="305">
        <f>'Office Minor'!G578</f>
        <v>10312018</v>
      </c>
      <c r="H742" s="305">
        <v>0</v>
      </c>
    </row>
    <row r="743" spans="1:8" s="432" customFormat="1" ht="17.100000000000001" customHeight="1" x14ac:dyDescent="0.25">
      <c r="A743" s="470">
        <v>36</v>
      </c>
      <c r="B743" s="471" t="s">
        <v>98</v>
      </c>
      <c r="C743" s="63">
        <v>0</v>
      </c>
      <c r="D743" s="216">
        <v>0</v>
      </c>
      <c r="E743" s="216">
        <v>0</v>
      </c>
      <c r="F743" s="217">
        <v>0</v>
      </c>
      <c r="G743" s="217">
        <f>'Office Minor'!G593</f>
        <v>7009000</v>
      </c>
      <c r="H743" s="217">
        <v>0</v>
      </c>
    </row>
    <row r="744" spans="1:8" s="432" customFormat="1" ht="17.100000000000001" customHeight="1" x14ac:dyDescent="0.25">
      <c r="A744" s="470">
        <v>37</v>
      </c>
      <c r="B744" s="471" t="s">
        <v>90</v>
      </c>
      <c r="C744" s="63">
        <v>0</v>
      </c>
      <c r="D744" s="216">
        <v>0</v>
      </c>
      <c r="E744" s="221">
        <v>0</v>
      </c>
      <c r="F744" s="217">
        <v>0</v>
      </c>
      <c r="G744" s="217">
        <f>'Office Minor'!G611</f>
        <v>51002000</v>
      </c>
      <c r="H744" s="217">
        <v>0</v>
      </c>
    </row>
    <row r="745" spans="1:8" s="432" customFormat="1" ht="17.100000000000001" customHeight="1" x14ac:dyDescent="0.25">
      <c r="A745" s="470">
        <v>38</v>
      </c>
      <c r="B745" s="471" t="s">
        <v>120</v>
      </c>
      <c r="C745" s="63">
        <v>0</v>
      </c>
      <c r="D745" s="216">
        <v>0</v>
      </c>
      <c r="E745" s="216">
        <v>0</v>
      </c>
      <c r="F745" s="217">
        <v>0</v>
      </c>
      <c r="G745" s="474">
        <f>'Office Minor'!G624</f>
        <v>296833968</v>
      </c>
      <c r="H745" s="217">
        <v>0</v>
      </c>
    </row>
    <row r="746" spans="1:8" s="432" customFormat="1" ht="17.100000000000001" customHeight="1" x14ac:dyDescent="0.25">
      <c r="A746" s="470">
        <v>39</v>
      </c>
      <c r="B746" s="471" t="s">
        <v>127</v>
      </c>
      <c r="C746" s="63">
        <v>0</v>
      </c>
      <c r="D746" s="216">
        <v>0</v>
      </c>
      <c r="E746" s="216">
        <v>0</v>
      </c>
      <c r="F746" s="217">
        <v>0</v>
      </c>
      <c r="G746" s="217">
        <f>'Office Minor'!G635</f>
        <v>17477939</v>
      </c>
      <c r="H746" s="217">
        <v>0</v>
      </c>
    </row>
    <row r="747" spans="1:8" s="432" customFormat="1" ht="17.100000000000001" customHeight="1" x14ac:dyDescent="0.25">
      <c r="A747" s="470">
        <v>40</v>
      </c>
      <c r="B747" s="471" t="s">
        <v>389</v>
      </c>
      <c r="C747" s="63">
        <v>0</v>
      </c>
      <c r="D747" s="216">
        <v>0</v>
      </c>
      <c r="E747" s="216">
        <v>0</v>
      </c>
      <c r="F747" s="217">
        <v>0</v>
      </c>
      <c r="G747" s="217">
        <f>'Office Minor'!G650</f>
        <v>25466984</v>
      </c>
      <c r="H747" s="217">
        <v>0</v>
      </c>
    </row>
    <row r="748" spans="1:8" s="432" customFormat="1" ht="17.100000000000001" customHeight="1" x14ac:dyDescent="0.25">
      <c r="A748" s="470">
        <v>41</v>
      </c>
      <c r="B748" s="447" t="s">
        <v>376</v>
      </c>
      <c r="C748" s="63">
        <v>0</v>
      </c>
      <c r="D748" s="216">
        <v>0</v>
      </c>
      <c r="E748" s="216">
        <v>0</v>
      </c>
      <c r="F748" s="217">
        <v>0</v>
      </c>
      <c r="G748" s="217">
        <f>'Office Minor'!G700</f>
        <v>182746480</v>
      </c>
      <c r="H748" s="217">
        <v>0</v>
      </c>
    </row>
    <row r="749" spans="1:8" s="432" customFormat="1" ht="17.100000000000001" customHeight="1" x14ac:dyDescent="0.25">
      <c r="A749" s="470">
        <v>42</v>
      </c>
      <c r="B749" s="471" t="s">
        <v>99</v>
      </c>
      <c r="C749" s="63">
        <v>0</v>
      </c>
      <c r="D749" s="216">
        <v>0</v>
      </c>
      <c r="E749" s="216">
        <v>0</v>
      </c>
      <c r="F749" s="217">
        <v>0</v>
      </c>
      <c r="G749" s="217">
        <f>'Office Minor'!G667</f>
        <v>2171283</v>
      </c>
      <c r="H749" s="217">
        <v>0</v>
      </c>
    </row>
    <row r="750" spans="1:8" s="432" customFormat="1" ht="17.100000000000001" customHeight="1" x14ac:dyDescent="0.25">
      <c r="A750" s="470">
        <v>43</v>
      </c>
      <c r="B750" s="471" t="s">
        <v>100</v>
      </c>
      <c r="C750" s="63">
        <v>0</v>
      </c>
      <c r="D750" s="219">
        <v>0</v>
      </c>
      <c r="E750" s="219">
        <v>0</v>
      </c>
      <c r="F750" s="305">
        <v>0</v>
      </c>
      <c r="G750" s="475">
        <f>'Office Minor'!G723</f>
        <v>137708573</v>
      </c>
      <c r="H750" s="305">
        <v>0</v>
      </c>
    </row>
    <row r="751" spans="1:8" s="432" customFormat="1" ht="17.100000000000001" customHeight="1" x14ac:dyDescent="0.25">
      <c r="A751" s="470">
        <v>44</v>
      </c>
      <c r="B751" s="471" t="s">
        <v>91</v>
      </c>
      <c r="C751" s="63">
        <v>0</v>
      </c>
      <c r="D751" s="305">
        <v>0</v>
      </c>
      <c r="E751" s="305">
        <v>0</v>
      </c>
      <c r="F751" s="476">
        <v>0</v>
      </c>
      <c r="G751" s="477">
        <f>'Office Minor'!G741</f>
        <v>9122510</v>
      </c>
      <c r="H751" s="203">
        <v>0</v>
      </c>
    </row>
    <row r="752" spans="1:8" s="432" customFormat="1" ht="17.100000000000001" customHeight="1" x14ac:dyDescent="0.25">
      <c r="A752" s="470">
        <v>45</v>
      </c>
      <c r="B752" s="471" t="s">
        <v>95</v>
      </c>
      <c r="C752" s="63">
        <v>0</v>
      </c>
      <c r="D752" s="228">
        <v>0</v>
      </c>
      <c r="E752" s="217">
        <v>0</v>
      </c>
      <c r="F752" s="217">
        <v>0</v>
      </c>
      <c r="G752" s="221">
        <f>'Office Minor'!G760</f>
        <v>477721172</v>
      </c>
      <c r="H752" s="137"/>
    </row>
    <row r="753" spans="1:11" s="432" customFormat="1" ht="17.100000000000001" customHeight="1" x14ac:dyDescent="0.25">
      <c r="A753" s="470">
        <v>46</v>
      </c>
      <c r="B753" s="433" t="s">
        <v>405</v>
      </c>
      <c r="C753" s="63">
        <v>0</v>
      </c>
      <c r="D753" s="228">
        <v>0</v>
      </c>
      <c r="E753" s="217">
        <v>0</v>
      </c>
      <c r="F753" s="217">
        <v>0</v>
      </c>
      <c r="G753" s="221">
        <f>'Office Minor'!G684</f>
        <v>16864874</v>
      </c>
      <c r="H753" s="137">
        <v>0</v>
      </c>
    </row>
    <row r="754" spans="1:11" s="432" customFormat="1" ht="17.100000000000001" customHeight="1" x14ac:dyDescent="0.25">
      <c r="A754" s="470">
        <v>47</v>
      </c>
      <c r="B754" s="471" t="s">
        <v>155</v>
      </c>
      <c r="C754" s="63">
        <v>0</v>
      </c>
      <c r="D754" s="230">
        <v>0</v>
      </c>
      <c r="E754" s="223">
        <v>0</v>
      </c>
      <c r="F754" s="375">
        <v>0</v>
      </c>
      <c r="G754" s="204">
        <f>'Office Minor'!G769</f>
        <v>31277423</v>
      </c>
      <c r="H754" s="228">
        <v>0</v>
      </c>
    </row>
    <row r="755" spans="1:11" s="432" customFormat="1" ht="17.100000000000001" customHeight="1" x14ac:dyDescent="0.25">
      <c r="A755" s="470">
        <v>48</v>
      </c>
      <c r="B755" s="471" t="s">
        <v>116</v>
      </c>
      <c r="C755" s="63">
        <v>0</v>
      </c>
      <c r="D755" s="228">
        <v>0</v>
      </c>
      <c r="E755" s="216">
        <v>0</v>
      </c>
      <c r="F755" s="216">
        <v>0</v>
      </c>
      <c r="G755" s="203">
        <f>'Office Minor'!G786</f>
        <v>0</v>
      </c>
      <c r="H755" s="228">
        <v>0</v>
      </c>
    </row>
    <row r="756" spans="1:11" s="432" customFormat="1" ht="17.100000000000001" customHeight="1" x14ac:dyDescent="0.25">
      <c r="A756" s="470">
        <v>49</v>
      </c>
      <c r="B756" s="478" t="s">
        <v>83</v>
      </c>
      <c r="C756" s="63">
        <v>0</v>
      </c>
      <c r="D756" s="228">
        <v>0</v>
      </c>
      <c r="E756" s="216">
        <v>0</v>
      </c>
      <c r="F756" s="219">
        <v>0</v>
      </c>
      <c r="G756" s="385">
        <f>'Office Minor'!G812</f>
        <v>403589442</v>
      </c>
      <c r="H756" s="228">
        <v>0</v>
      </c>
    </row>
    <row r="757" spans="1:11" s="432" customFormat="1" ht="17.100000000000001" customHeight="1" x14ac:dyDescent="0.25">
      <c r="A757" s="1126" t="s">
        <v>50</v>
      </c>
      <c r="B757" s="1126"/>
      <c r="C757" s="63">
        <f>SUM(C708:C756)</f>
        <v>0</v>
      </c>
      <c r="D757" s="63">
        <f t="shared" ref="D757:H757" si="50">SUM(D708:D756)</f>
        <v>0</v>
      </c>
      <c r="E757" s="63">
        <f t="shared" si="50"/>
        <v>0</v>
      </c>
      <c r="F757" s="63">
        <f t="shared" si="50"/>
        <v>0</v>
      </c>
      <c r="G757" s="63">
        <f t="shared" si="50"/>
        <v>5627037465</v>
      </c>
      <c r="H757" s="63">
        <f t="shared" si="50"/>
        <v>0</v>
      </c>
    </row>
    <row r="758" spans="1:11" x14ac:dyDescent="0.25">
      <c r="A758" s="231"/>
      <c r="B758" s="231"/>
      <c r="C758" s="231"/>
      <c r="D758" s="231"/>
      <c r="E758" s="231"/>
      <c r="F758" s="231"/>
      <c r="G758" s="231"/>
      <c r="H758" s="231"/>
    </row>
    <row r="759" spans="1:11" ht="30.75" x14ac:dyDescent="0.25">
      <c r="A759" s="1139" t="s">
        <v>0</v>
      </c>
      <c r="B759" s="1139"/>
      <c r="C759" s="1139"/>
      <c r="D759" s="1139"/>
      <c r="E759" s="1139"/>
      <c r="F759" s="1139"/>
      <c r="G759" s="1139"/>
      <c r="H759" s="1139"/>
    </row>
    <row r="760" spans="1:11" ht="25.5" x14ac:dyDescent="0.25">
      <c r="A760" s="1140" t="s">
        <v>156</v>
      </c>
      <c r="B760" s="1140"/>
      <c r="C760" s="1140"/>
      <c r="D760" s="1140"/>
      <c r="E760" s="1140"/>
      <c r="F760" s="1140"/>
      <c r="G760" s="1140"/>
      <c r="H760" s="1140"/>
    </row>
    <row r="761" spans="1:11" ht="22.5" x14ac:dyDescent="0.25">
      <c r="A761" s="1141" t="str">
        <f>'Major Front'!A3:H3</f>
        <v>Financial Year 2023-24</v>
      </c>
      <c r="B761" s="1141"/>
      <c r="C761" s="1141"/>
      <c r="D761" s="1141"/>
      <c r="E761" s="1141"/>
      <c r="F761" s="1141"/>
      <c r="G761" s="1141"/>
      <c r="H761" s="1141"/>
    </row>
    <row r="762" spans="1:11" x14ac:dyDescent="0.25">
      <c r="A762" s="232"/>
      <c r="B762" s="232"/>
      <c r="C762" s="232"/>
      <c r="D762" s="232"/>
      <c r="E762" s="232"/>
      <c r="F762" s="232"/>
      <c r="G762" s="232"/>
      <c r="H762" s="232"/>
    </row>
    <row r="763" spans="1:11" s="432" customFormat="1" ht="17.100000000000001" customHeight="1" x14ac:dyDescent="0.25">
      <c r="A763" s="1127" t="s">
        <v>2</v>
      </c>
      <c r="B763" s="1129" t="s">
        <v>3</v>
      </c>
      <c r="C763" s="131" t="s">
        <v>4</v>
      </c>
      <c r="D763" s="131" t="s">
        <v>5</v>
      </c>
      <c r="E763" s="131" t="s">
        <v>6</v>
      </c>
      <c r="F763" s="131" t="s">
        <v>7</v>
      </c>
      <c r="G763" s="131" t="s">
        <v>8</v>
      </c>
      <c r="H763" s="131" t="s">
        <v>9</v>
      </c>
    </row>
    <row r="764" spans="1:11" s="432" customFormat="1" ht="17.100000000000001" customHeight="1" x14ac:dyDescent="0.25">
      <c r="A764" s="1151"/>
      <c r="B764" s="1152"/>
      <c r="C764" s="165" t="s">
        <v>10</v>
      </c>
      <c r="D764" s="165" t="s">
        <v>52</v>
      </c>
      <c r="E764" s="165"/>
      <c r="F764" s="165"/>
      <c r="G764" s="537" t="s">
        <v>631</v>
      </c>
      <c r="H764" s="165" t="s">
        <v>13</v>
      </c>
    </row>
    <row r="765" spans="1:11" s="586" customFormat="1" ht="17.100000000000001" customHeight="1" x14ac:dyDescent="0.25">
      <c r="A765" s="584">
        <v>1</v>
      </c>
      <c r="B765" s="585" t="s">
        <v>23</v>
      </c>
      <c r="C765" s="540">
        <f t="shared" ref="C765:H765" si="51">C11</f>
        <v>214</v>
      </c>
      <c r="D765" s="540">
        <f t="shared" si="51"/>
        <v>5443.13</v>
      </c>
      <c r="E765" s="825">
        <f>E11</f>
        <v>8107894.9100000001</v>
      </c>
      <c r="F765" s="825">
        <f>F11</f>
        <v>5675517880.3999996</v>
      </c>
      <c r="G765" s="825">
        <f>G11</f>
        <v>649499353</v>
      </c>
      <c r="H765" s="540">
        <f t="shared" si="51"/>
        <v>1111</v>
      </c>
    </row>
    <row r="766" spans="1:11" s="586" customFormat="1" ht="17.100000000000001" customHeight="1" x14ac:dyDescent="0.25">
      <c r="A766" s="584">
        <v>2</v>
      </c>
      <c r="B766" s="585" t="s">
        <v>24</v>
      </c>
      <c r="C766" s="540">
        <f t="shared" ref="C766:H766" si="52">C18</f>
        <v>1</v>
      </c>
      <c r="D766" s="540">
        <f t="shared" si="52"/>
        <v>31</v>
      </c>
      <c r="E766" s="540">
        <f t="shared" si="52"/>
        <v>6002</v>
      </c>
      <c r="F766" s="540">
        <f t="shared" si="52"/>
        <v>7802600</v>
      </c>
      <c r="G766" s="540">
        <f t="shared" si="52"/>
        <v>755260</v>
      </c>
      <c r="H766" s="540">
        <f t="shared" si="52"/>
        <v>9</v>
      </c>
    </row>
    <row r="767" spans="1:11" s="586" customFormat="1" ht="17.100000000000001" customHeight="1" x14ac:dyDescent="0.25">
      <c r="A767" s="584">
        <v>3</v>
      </c>
      <c r="B767" s="180" t="s">
        <v>53</v>
      </c>
      <c r="C767" s="182">
        <f t="shared" ref="C767:H767" si="53">C26</f>
        <v>48</v>
      </c>
      <c r="D767" s="182">
        <f t="shared" si="53"/>
        <v>103.13999999999999</v>
      </c>
      <c r="E767" s="182">
        <f t="shared" si="53"/>
        <v>455672</v>
      </c>
      <c r="F767" s="182">
        <f>F26</f>
        <v>296303754</v>
      </c>
      <c r="G767" s="182">
        <f t="shared" si="53"/>
        <v>91325959</v>
      </c>
      <c r="H767" s="182">
        <f t="shared" si="53"/>
        <v>365</v>
      </c>
    </row>
    <row r="768" spans="1:11" s="586" customFormat="1" ht="17.100000000000001" customHeight="1" x14ac:dyDescent="0.25">
      <c r="A768" s="584">
        <v>4</v>
      </c>
      <c r="B768" s="180" t="s">
        <v>54</v>
      </c>
      <c r="C768" s="180">
        <f t="shared" ref="C768:H768" si="54">C56</f>
        <v>38</v>
      </c>
      <c r="D768" s="180">
        <f t="shared" si="54"/>
        <v>511.61</v>
      </c>
      <c r="E768" s="180">
        <f t="shared" si="54"/>
        <v>14222085.671209676</v>
      </c>
      <c r="F768" s="180">
        <f t="shared" si="54"/>
        <v>3241270499.7540321</v>
      </c>
      <c r="G768" s="180">
        <f t="shared" si="54"/>
        <v>499365868</v>
      </c>
      <c r="H768" s="180">
        <f t="shared" si="54"/>
        <v>16544</v>
      </c>
      <c r="K768" s="28"/>
    </row>
    <row r="769" spans="1:11" s="586" customFormat="1" ht="17.100000000000001" customHeight="1" x14ac:dyDescent="0.25">
      <c r="A769" s="584">
        <v>5</v>
      </c>
      <c r="B769" s="180" t="s">
        <v>25</v>
      </c>
      <c r="C769" s="180">
        <f t="shared" ref="C769:H769" si="55">C70</f>
        <v>36</v>
      </c>
      <c r="D769" s="180">
        <f t="shared" si="55"/>
        <v>530.72749999999996</v>
      </c>
      <c r="E769" s="180">
        <f t="shared" si="55"/>
        <v>94517.7396226415</v>
      </c>
      <c r="F769" s="180">
        <f t="shared" si="55"/>
        <v>80340878.315647244</v>
      </c>
      <c r="G769" s="180">
        <f t="shared" si="55"/>
        <v>20471602</v>
      </c>
      <c r="H769" s="180">
        <f t="shared" si="55"/>
        <v>264</v>
      </c>
      <c r="K769" s="28"/>
    </row>
    <row r="770" spans="1:11" s="586" customFormat="1" ht="17.100000000000001" customHeight="1" x14ac:dyDescent="0.25">
      <c r="A770" s="584">
        <v>6</v>
      </c>
      <c r="B770" s="180" t="s">
        <v>171</v>
      </c>
      <c r="C770" s="180">
        <f t="shared" ref="C770:H770" si="56">C90</f>
        <v>476</v>
      </c>
      <c r="D770" s="180">
        <f t="shared" si="56"/>
        <v>4677.0889999999999</v>
      </c>
      <c r="E770" s="180">
        <f t="shared" si="56"/>
        <v>5933197.9900000002</v>
      </c>
      <c r="F770" s="180">
        <f t="shared" si="56"/>
        <v>2603616938.5429964</v>
      </c>
      <c r="G770" s="180">
        <f t="shared" si="56"/>
        <v>346368558</v>
      </c>
      <c r="H770" s="180">
        <f t="shared" si="56"/>
        <v>2864</v>
      </c>
      <c r="K770" s="28"/>
    </row>
    <row r="771" spans="1:11" s="586" customFormat="1" ht="17.100000000000001" customHeight="1" x14ac:dyDescent="0.25">
      <c r="A771" s="584">
        <v>7</v>
      </c>
      <c r="B771" s="180" t="s">
        <v>55</v>
      </c>
      <c r="C771" s="180">
        <f t="shared" ref="C771:H771" si="57">C97</f>
        <v>1</v>
      </c>
      <c r="D771" s="180">
        <f t="shared" si="57"/>
        <v>0.71</v>
      </c>
      <c r="E771" s="180">
        <f t="shared" si="57"/>
        <v>196</v>
      </c>
      <c r="F771" s="180">
        <f t="shared" si="57"/>
        <v>24154</v>
      </c>
      <c r="G771" s="180">
        <f t="shared" si="57"/>
        <v>21566</v>
      </c>
      <c r="H771" s="180">
        <f t="shared" si="57"/>
        <v>5</v>
      </c>
      <c r="K771" s="28"/>
    </row>
    <row r="772" spans="1:11" s="586" customFormat="1" ht="17.100000000000001" customHeight="1" x14ac:dyDescent="0.25">
      <c r="A772" s="584">
        <v>8</v>
      </c>
      <c r="B772" s="180" t="s">
        <v>56</v>
      </c>
      <c r="C772" s="180">
        <f t="shared" ref="C772:H772" si="58">C104</f>
        <v>32</v>
      </c>
      <c r="D772" s="180">
        <f t="shared" si="58"/>
        <v>35.130000000000003</v>
      </c>
      <c r="E772" s="180">
        <f t="shared" si="58"/>
        <v>64531</v>
      </c>
      <c r="F772" s="180">
        <f t="shared" si="58"/>
        <v>67585140</v>
      </c>
      <c r="G772" s="180">
        <f t="shared" si="58"/>
        <v>11437870</v>
      </c>
      <c r="H772" s="180">
        <f t="shared" si="58"/>
        <v>180</v>
      </c>
      <c r="K772" s="28"/>
    </row>
    <row r="773" spans="1:11" s="586" customFormat="1" ht="17.100000000000001" customHeight="1" x14ac:dyDescent="0.25">
      <c r="A773" s="584">
        <v>9</v>
      </c>
      <c r="B773" s="180" t="s">
        <v>27</v>
      </c>
      <c r="C773" s="180">
        <f t="shared" ref="C773:H773" si="59">C118</f>
        <v>57</v>
      </c>
      <c r="D773" s="180">
        <f t="shared" si="59"/>
        <v>1649.16</v>
      </c>
      <c r="E773" s="180">
        <f t="shared" si="59"/>
        <v>2042776.9300000002</v>
      </c>
      <c r="F773" s="180">
        <f t="shared" si="59"/>
        <v>3234958067</v>
      </c>
      <c r="G773" s="180">
        <f t="shared" si="59"/>
        <v>167551334.18000001</v>
      </c>
      <c r="H773" s="180">
        <f t="shared" si="59"/>
        <v>632</v>
      </c>
      <c r="K773" s="28"/>
    </row>
    <row r="774" spans="1:11" s="586" customFormat="1" ht="17.100000000000001" customHeight="1" x14ac:dyDescent="0.25">
      <c r="A774" s="584">
        <v>10</v>
      </c>
      <c r="B774" s="180" t="s">
        <v>41</v>
      </c>
      <c r="C774" s="180">
        <f t="shared" ref="C774:H774" si="60">C139</f>
        <v>2055</v>
      </c>
      <c r="D774" s="180">
        <f t="shared" si="60"/>
        <v>27173.141799999998</v>
      </c>
      <c r="E774" s="180">
        <f t="shared" si="60"/>
        <v>15230569</v>
      </c>
      <c r="F774" s="180">
        <f t="shared" si="60"/>
        <v>8453853133.9007454</v>
      </c>
      <c r="G774" s="180">
        <f t="shared" si="60"/>
        <v>1339029155</v>
      </c>
      <c r="H774" s="180">
        <f t="shared" si="60"/>
        <v>8687</v>
      </c>
      <c r="K774" s="28"/>
    </row>
    <row r="775" spans="1:11" s="586" customFormat="1" ht="17.100000000000001" customHeight="1" x14ac:dyDescent="0.25">
      <c r="A775" s="584">
        <v>11</v>
      </c>
      <c r="B775" s="180" t="s">
        <v>28</v>
      </c>
      <c r="C775" s="180">
        <f t="shared" ref="C775:H775" si="61">C146</f>
        <v>3</v>
      </c>
      <c r="D775" s="180">
        <f t="shared" si="61"/>
        <v>59.987299999999998</v>
      </c>
      <c r="E775" s="180">
        <f t="shared" si="61"/>
        <v>750</v>
      </c>
      <c r="F775" s="180">
        <f t="shared" si="61"/>
        <v>637500</v>
      </c>
      <c r="G775" s="180">
        <f t="shared" si="61"/>
        <v>60000</v>
      </c>
      <c r="H775" s="180">
        <f t="shared" si="61"/>
        <v>40</v>
      </c>
      <c r="K775" s="28"/>
    </row>
    <row r="776" spans="1:11" s="586" customFormat="1" ht="17.100000000000001" customHeight="1" x14ac:dyDescent="0.25">
      <c r="A776" s="584">
        <v>12</v>
      </c>
      <c r="B776" s="180" t="s">
        <v>57</v>
      </c>
      <c r="C776" s="180">
        <f t="shared" ref="C776:H776" si="62">C157</f>
        <v>17</v>
      </c>
      <c r="D776" s="180">
        <f t="shared" si="62"/>
        <v>198.42999999999998</v>
      </c>
      <c r="E776" s="180">
        <f t="shared" si="62"/>
        <v>23561</v>
      </c>
      <c r="F776" s="180">
        <f t="shared" si="62"/>
        <v>14687356</v>
      </c>
      <c r="G776" s="180">
        <f t="shared" si="62"/>
        <v>5121953</v>
      </c>
      <c r="H776" s="180">
        <f t="shared" si="62"/>
        <v>36</v>
      </c>
      <c r="K776" s="28"/>
    </row>
    <row r="777" spans="1:11" s="586" customFormat="1" ht="17.100000000000001" customHeight="1" x14ac:dyDescent="0.25">
      <c r="A777" s="584">
        <v>13</v>
      </c>
      <c r="B777" s="587" t="s">
        <v>32</v>
      </c>
      <c r="C777" s="180">
        <f t="shared" ref="C777:H777" si="63">C165</f>
        <v>1</v>
      </c>
      <c r="D777" s="180">
        <f t="shared" si="63"/>
        <v>24.5</v>
      </c>
      <c r="E777" s="180">
        <f t="shared" si="63"/>
        <v>418</v>
      </c>
      <c r="F777" s="180">
        <f t="shared" si="63"/>
        <v>104500</v>
      </c>
      <c r="G777" s="180">
        <f t="shared" si="63"/>
        <v>12563</v>
      </c>
      <c r="H777" s="180">
        <f t="shared" si="63"/>
        <v>4</v>
      </c>
      <c r="K777" s="28"/>
    </row>
    <row r="778" spans="1:11" s="586" customFormat="1" ht="17.100000000000001" customHeight="1" x14ac:dyDescent="0.25">
      <c r="A778" s="584">
        <v>14</v>
      </c>
      <c r="B778" s="180" t="s">
        <v>58</v>
      </c>
      <c r="C778" s="180">
        <f t="shared" ref="C778:H778" si="64">C199</f>
        <v>2422</v>
      </c>
      <c r="D778" s="180">
        <f t="shared" si="64"/>
        <v>5058.7700000000013</v>
      </c>
      <c r="E778" s="180">
        <f t="shared" si="64"/>
        <v>10906415.589354837</v>
      </c>
      <c r="F778" s="180">
        <f t="shared" si="64"/>
        <v>23302929007.612904</v>
      </c>
      <c r="G778" s="180">
        <f t="shared" si="64"/>
        <v>3331056515</v>
      </c>
      <c r="H778" s="180">
        <f t="shared" si="64"/>
        <v>13929</v>
      </c>
      <c r="K778" s="28"/>
    </row>
    <row r="779" spans="1:11" s="586" customFormat="1" ht="17.100000000000001" customHeight="1" x14ac:dyDescent="0.25">
      <c r="A779" s="584">
        <v>15</v>
      </c>
      <c r="B779" s="180" t="s">
        <v>31</v>
      </c>
      <c r="C779" s="180">
        <f t="shared" ref="C779:H779" si="65">C213</f>
        <v>132</v>
      </c>
      <c r="D779" s="180">
        <f t="shared" si="65"/>
        <v>9252.49</v>
      </c>
      <c r="E779" s="180">
        <f t="shared" si="65"/>
        <v>6712208.79</v>
      </c>
      <c r="F779" s="180">
        <f t="shared" si="65"/>
        <v>4863891572.1000004</v>
      </c>
      <c r="G779" s="180">
        <f t="shared" si="65"/>
        <v>1260365963</v>
      </c>
      <c r="H779" s="180">
        <f t="shared" si="65"/>
        <v>1485</v>
      </c>
      <c r="K779" s="28"/>
    </row>
    <row r="780" spans="1:11" s="586" customFormat="1" ht="17.100000000000001" customHeight="1" x14ac:dyDescent="0.25">
      <c r="A780" s="584">
        <v>16</v>
      </c>
      <c r="B780" s="180" t="s">
        <v>399</v>
      </c>
      <c r="C780" s="180">
        <f t="shared" ref="C780:H780" si="66">C220</f>
        <v>4</v>
      </c>
      <c r="D780" s="180">
        <f t="shared" si="66"/>
        <v>13.865399999999999</v>
      </c>
      <c r="E780" s="180">
        <f t="shared" si="66"/>
        <v>62227.520000000004</v>
      </c>
      <c r="F780" s="180">
        <f t="shared" si="66"/>
        <v>23024682</v>
      </c>
      <c r="G780" s="180">
        <f t="shared" si="66"/>
        <v>1050523</v>
      </c>
      <c r="H780" s="180">
        <f t="shared" si="66"/>
        <v>105</v>
      </c>
      <c r="K780" s="28"/>
    </row>
    <row r="781" spans="1:11" s="586" customFormat="1" ht="17.100000000000001" customHeight="1" x14ac:dyDescent="0.25">
      <c r="A781" s="584">
        <v>17</v>
      </c>
      <c r="B781" s="180" t="s">
        <v>59</v>
      </c>
      <c r="C781" s="182">
        <f t="shared" ref="C781:H781" si="67">C267</f>
        <v>166</v>
      </c>
      <c r="D781" s="182">
        <f t="shared" si="67"/>
        <v>65555.348799999992</v>
      </c>
      <c r="E781" s="182">
        <f t="shared" si="67"/>
        <v>24929373.481111109</v>
      </c>
      <c r="F781" s="182">
        <f t="shared" si="67"/>
        <v>12856435102.611111</v>
      </c>
      <c r="G781" s="182">
        <f t="shared" si="67"/>
        <v>1884289371.5999999</v>
      </c>
      <c r="H781" s="182">
        <f t="shared" si="67"/>
        <v>4255</v>
      </c>
      <c r="K781" s="28"/>
    </row>
    <row r="782" spans="1:11" s="586" customFormat="1" ht="17.100000000000001" customHeight="1" x14ac:dyDescent="0.25">
      <c r="A782" s="584">
        <v>18</v>
      </c>
      <c r="B782" s="180" t="s">
        <v>60</v>
      </c>
      <c r="C782" s="182">
        <f t="shared" ref="C782:H782" si="68">C293</f>
        <v>473</v>
      </c>
      <c r="D782" s="182">
        <f t="shared" si="68"/>
        <v>11164.849999999999</v>
      </c>
      <c r="E782" s="182">
        <f t="shared" si="68"/>
        <v>17656251.93</v>
      </c>
      <c r="F782" s="182">
        <f t="shared" si="68"/>
        <v>6381479818</v>
      </c>
      <c r="G782" s="182">
        <f t="shared" si="68"/>
        <v>1797756411.1199999</v>
      </c>
      <c r="H782" s="182">
        <f t="shared" si="68"/>
        <v>4790</v>
      </c>
      <c r="K782" s="28"/>
    </row>
    <row r="783" spans="1:11" s="586" customFormat="1" ht="17.100000000000001" customHeight="1" x14ac:dyDescent="0.25">
      <c r="A783" s="584">
        <v>19</v>
      </c>
      <c r="B783" s="180" t="s">
        <v>61</v>
      </c>
      <c r="C783" s="182">
        <f t="shared" ref="C783:H783" si="69">C306</f>
        <v>325</v>
      </c>
      <c r="D783" s="182">
        <f t="shared" si="69"/>
        <v>668.17000000000007</v>
      </c>
      <c r="E783" s="182">
        <f t="shared" si="69"/>
        <v>2473975.7599999998</v>
      </c>
      <c r="F783" s="182">
        <f t="shared" si="69"/>
        <v>2734518888</v>
      </c>
      <c r="G783" s="182">
        <f t="shared" si="69"/>
        <v>677767348</v>
      </c>
      <c r="H783" s="182">
        <f t="shared" si="69"/>
        <v>3943</v>
      </c>
      <c r="K783" s="28"/>
    </row>
    <row r="784" spans="1:11" s="586" customFormat="1" ht="17.100000000000001" customHeight="1" x14ac:dyDescent="0.25">
      <c r="A784" s="584">
        <v>20</v>
      </c>
      <c r="B784" s="180" t="s">
        <v>62</v>
      </c>
      <c r="C784" s="181">
        <f t="shared" ref="C784:H784" si="70">C339</f>
        <v>1683</v>
      </c>
      <c r="D784" s="181">
        <f t="shared" si="70"/>
        <v>2894.2678000000005</v>
      </c>
      <c r="E784" s="181">
        <f t="shared" si="70"/>
        <v>12189563.24</v>
      </c>
      <c r="F784" s="181">
        <f t="shared" si="70"/>
        <v>23152765326</v>
      </c>
      <c r="G784" s="181">
        <f t="shared" si="70"/>
        <v>3078766391</v>
      </c>
      <c r="H784" s="181">
        <f t="shared" si="70"/>
        <v>25936</v>
      </c>
      <c r="K784" s="28"/>
    </row>
    <row r="785" spans="1:11" s="586" customFormat="1" ht="17.100000000000001" customHeight="1" x14ac:dyDescent="0.25">
      <c r="A785" s="584">
        <v>21</v>
      </c>
      <c r="B785" s="180" t="s">
        <v>63</v>
      </c>
      <c r="C785" s="180">
        <f t="shared" ref="C785:H785" si="71">C390</f>
        <v>6093</v>
      </c>
      <c r="D785" s="180">
        <f t="shared" si="71"/>
        <v>6964.3207999999986</v>
      </c>
      <c r="E785" s="180">
        <f t="shared" si="71"/>
        <v>153132870.38</v>
      </c>
      <c r="F785" s="180">
        <f t="shared" si="71"/>
        <v>31677843228.460537</v>
      </c>
      <c r="G785" s="180">
        <f t="shared" si="71"/>
        <v>6596107814.5</v>
      </c>
      <c r="H785" s="180">
        <f t="shared" si="71"/>
        <v>61990</v>
      </c>
      <c r="K785" s="28"/>
    </row>
    <row r="786" spans="1:11" s="586" customFormat="1" ht="17.100000000000001" customHeight="1" x14ac:dyDescent="0.25">
      <c r="A786" s="584">
        <v>22</v>
      </c>
      <c r="B786" s="180" t="s">
        <v>159</v>
      </c>
      <c r="C786" s="180">
        <f t="shared" ref="C786:H786" si="72">C401</f>
        <v>45</v>
      </c>
      <c r="D786" s="180">
        <f t="shared" si="72"/>
        <v>233.60999999999999</v>
      </c>
      <c r="E786" s="180">
        <f t="shared" si="72"/>
        <v>23892</v>
      </c>
      <c r="F786" s="180">
        <f t="shared" si="72"/>
        <v>45776400</v>
      </c>
      <c r="G786" s="180">
        <f t="shared" si="72"/>
        <v>53427851</v>
      </c>
      <c r="H786" s="180">
        <f t="shared" si="72"/>
        <v>310</v>
      </c>
      <c r="K786" s="28"/>
    </row>
    <row r="787" spans="1:11" s="586" customFormat="1" ht="17.100000000000001" customHeight="1" x14ac:dyDescent="0.25">
      <c r="A787" s="584">
        <v>23</v>
      </c>
      <c r="B787" s="180" t="s">
        <v>64</v>
      </c>
      <c r="C787" s="180">
        <f t="shared" ref="C787:H787" si="73">C408</f>
        <v>4</v>
      </c>
      <c r="D787" s="180">
        <f t="shared" si="73"/>
        <v>972.17000000000007</v>
      </c>
      <c r="E787" s="180">
        <f t="shared" si="73"/>
        <v>0</v>
      </c>
      <c r="F787" s="180">
        <f t="shared" si="73"/>
        <v>0</v>
      </c>
      <c r="G787" s="180">
        <f t="shared" si="73"/>
        <v>0</v>
      </c>
      <c r="H787" s="180">
        <f t="shared" si="73"/>
        <v>0</v>
      </c>
      <c r="K787" s="28"/>
    </row>
    <row r="788" spans="1:11" s="586" customFormat="1" ht="17.100000000000001" customHeight="1" x14ac:dyDescent="0.25">
      <c r="A788" s="584">
        <v>24</v>
      </c>
      <c r="B788" s="180" t="s">
        <v>65</v>
      </c>
      <c r="C788" s="180">
        <f t="shared" ref="C788:H788" si="74">C435</f>
        <v>8</v>
      </c>
      <c r="D788" s="180">
        <f t="shared" si="74"/>
        <v>7</v>
      </c>
      <c r="E788" s="180">
        <f t="shared" si="74"/>
        <v>23778011.686000001</v>
      </c>
      <c r="F788" s="180">
        <f t="shared" si="74"/>
        <v>649341576.46200001</v>
      </c>
      <c r="G788" s="180">
        <f t="shared" si="74"/>
        <v>142932627</v>
      </c>
      <c r="H788" s="180">
        <f t="shared" si="74"/>
        <v>4203</v>
      </c>
      <c r="K788" s="28"/>
    </row>
    <row r="789" spans="1:11" s="586" customFormat="1" ht="17.100000000000001" customHeight="1" x14ac:dyDescent="0.25">
      <c r="A789" s="584">
        <v>25</v>
      </c>
      <c r="B789" s="588" t="s">
        <v>66</v>
      </c>
      <c r="C789" s="180">
        <f t="shared" ref="C789:H789" si="75">C452</f>
        <v>26</v>
      </c>
      <c r="D789" s="180">
        <f t="shared" si="75"/>
        <v>33</v>
      </c>
      <c r="E789" s="180">
        <f t="shared" si="75"/>
        <v>571295.79</v>
      </c>
      <c r="F789" s="180">
        <f t="shared" si="75"/>
        <v>118336301.2</v>
      </c>
      <c r="G789" s="180">
        <f t="shared" si="75"/>
        <v>18237182</v>
      </c>
      <c r="H789" s="180">
        <f t="shared" si="75"/>
        <v>300</v>
      </c>
      <c r="K789" s="28"/>
    </row>
    <row r="790" spans="1:11" s="586" customFormat="1" ht="17.100000000000001" customHeight="1" x14ac:dyDescent="0.25">
      <c r="A790" s="584">
        <v>26</v>
      </c>
      <c r="B790" s="588" t="s">
        <v>38</v>
      </c>
      <c r="C790" s="180">
        <f t="shared" ref="C790:H790" si="76">C470</f>
        <v>124</v>
      </c>
      <c r="D790" s="180">
        <f t="shared" si="76"/>
        <v>1167.9943999999998</v>
      </c>
      <c r="E790" s="180">
        <f t="shared" si="76"/>
        <v>3512849.52</v>
      </c>
      <c r="F790" s="180">
        <f t="shared" si="76"/>
        <v>907886133.79340732</v>
      </c>
      <c r="G790" s="180">
        <f t="shared" si="76"/>
        <v>120533301</v>
      </c>
      <c r="H790" s="180">
        <f t="shared" si="76"/>
        <v>2969</v>
      </c>
      <c r="K790" s="28"/>
    </row>
    <row r="791" spans="1:11" s="586" customFormat="1" ht="17.100000000000001" customHeight="1" x14ac:dyDescent="0.25">
      <c r="A791" s="584">
        <v>27</v>
      </c>
      <c r="B791" s="588" t="s">
        <v>67</v>
      </c>
      <c r="C791" s="180">
        <f t="shared" ref="C791:H791" si="77">C489</f>
        <v>62</v>
      </c>
      <c r="D791" s="180">
        <f t="shared" si="77"/>
        <v>1031.4100000000001</v>
      </c>
      <c r="E791" s="180">
        <f t="shared" si="77"/>
        <v>909979.62</v>
      </c>
      <c r="F791" s="180">
        <f t="shared" si="77"/>
        <v>603956371</v>
      </c>
      <c r="G791" s="180">
        <f t="shared" si="77"/>
        <v>128007890</v>
      </c>
      <c r="H791" s="180">
        <f t="shared" si="77"/>
        <v>1855</v>
      </c>
      <c r="K791" s="28"/>
    </row>
    <row r="792" spans="1:11" s="586" customFormat="1" ht="17.100000000000001" customHeight="1" x14ac:dyDescent="0.25">
      <c r="A792" s="584">
        <v>28</v>
      </c>
      <c r="B792" s="588" t="s">
        <v>39</v>
      </c>
      <c r="C792" s="180">
        <f t="shared" ref="C792:H792" si="78">C497</f>
        <v>17</v>
      </c>
      <c r="D792" s="180">
        <f t="shared" si="78"/>
        <v>406.15</v>
      </c>
      <c r="E792" s="180">
        <f t="shared" si="78"/>
        <v>147974.15702479339</v>
      </c>
      <c r="F792" s="180">
        <f t="shared" si="78"/>
        <v>243250774.05558342</v>
      </c>
      <c r="G792" s="180">
        <f t="shared" si="78"/>
        <v>43166104</v>
      </c>
      <c r="H792" s="180">
        <f t="shared" si="78"/>
        <v>23</v>
      </c>
      <c r="K792" s="28"/>
    </row>
    <row r="793" spans="1:11" s="586" customFormat="1" ht="17.100000000000001" customHeight="1" x14ac:dyDescent="0.25">
      <c r="A793" s="584">
        <v>29</v>
      </c>
      <c r="B793" s="180" t="s">
        <v>68</v>
      </c>
      <c r="C793" s="182">
        <f t="shared" ref="C793" si="79">C513</f>
        <v>33</v>
      </c>
      <c r="D793" s="182">
        <f t="shared" ref="D793:H793" si="80">D513</f>
        <v>97.461700000000008</v>
      </c>
      <c r="E793" s="182">
        <f t="shared" si="80"/>
        <v>159219.41</v>
      </c>
      <c r="F793" s="182">
        <f t="shared" si="80"/>
        <v>38866433</v>
      </c>
      <c r="G793" s="182">
        <f t="shared" si="80"/>
        <v>60855433</v>
      </c>
      <c r="H793" s="182">
        <f t="shared" si="80"/>
        <v>92</v>
      </c>
      <c r="K793" s="28"/>
    </row>
    <row r="794" spans="1:11" s="586" customFormat="1" ht="17.100000000000001" customHeight="1" x14ac:dyDescent="0.25">
      <c r="A794" s="584">
        <v>30</v>
      </c>
      <c r="B794" s="180" t="s">
        <v>40</v>
      </c>
      <c r="C794" s="182">
        <f>C543</f>
        <v>653</v>
      </c>
      <c r="D794" s="182">
        <f t="shared" ref="D794:H794" si="81">D543</f>
        <v>3467.5</v>
      </c>
      <c r="E794" s="182">
        <f t="shared" si="81"/>
        <v>4163495.05</v>
      </c>
      <c r="F794" s="182">
        <f t="shared" si="81"/>
        <v>2258761539.6464043</v>
      </c>
      <c r="G794" s="182">
        <f t="shared" si="81"/>
        <v>381050756</v>
      </c>
      <c r="H794" s="182">
        <f t="shared" si="81"/>
        <v>14335</v>
      </c>
      <c r="K794" s="28"/>
    </row>
    <row r="795" spans="1:11" s="586" customFormat="1" ht="17.100000000000001" customHeight="1" x14ac:dyDescent="0.25">
      <c r="A795" s="584">
        <v>31</v>
      </c>
      <c r="B795" s="588" t="s">
        <v>69</v>
      </c>
      <c r="C795" s="180">
        <f t="shared" ref="C795" si="82">C551</f>
        <v>174</v>
      </c>
      <c r="D795" s="180">
        <f t="shared" ref="D795:H795" si="83">D551</f>
        <v>184.16</v>
      </c>
      <c r="E795" s="180">
        <f t="shared" si="83"/>
        <v>2846413</v>
      </c>
      <c r="F795" s="180">
        <f t="shared" si="83"/>
        <v>359325187</v>
      </c>
      <c r="G795" s="180">
        <f t="shared" si="83"/>
        <v>133364288</v>
      </c>
      <c r="H795" s="180">
        <f t="shared" si="83"/>
        <v>705</v>
      </c>
      <c r="K795" s="28"/>
    </row>
    <row r="796" spans="1:11" s="586" customFormat="1" ht="17.100000000000001" customHeight="1" x14ac:dyDescent="0.25">
      <c r="A796" s="584">
        <v>32</v>
      </c>
      <c r="B796" s="180" t="s">
        <v>70</v>
      </c>
      <c r="C796" s="180">
        <f t="shared" ref="C796" si="84">C557</f>
        <v>0</v>
      </c>
      <c r="D796" s="180">
        <f t="shared" ref="D796:H796" si="85">D557</f>
        <v>0</v>
      </c>
      <c r="E796" s="180">
        <f t="shared" si="85"/>
        <v>0</v>
      </c>
      <c r="F796" s="180">
        <f t="shared" si="85"/>
        <v>0</v>
      </c>
      <c r="G796" s="180">
        <f t="shared" si="85"/>
        <v>0</v>
      </c>
      <c r="H796" s="180">
        <f t="shared" si="85"/>
        <v>0</v>
      </c>
      <c r="K796" s="28"/>
    </row>
    <row r="797" spans="1:11" s="586" customFormat="1" ht="17.100000000000001" customHeight="1" x14ac:dyDescent="0.25">
      <c r="A797" s="584">
        <v>33</v>
      </c>
      <c r="B797" s="180" t="s">
        <v>71</v>
      </c>
      <c r="C797" s="180">
        <f t="shared" ref="C797" si="86">C581</f>
        <v>1018</v>
      </c>
      <c r="D797" s="180">
        <f t="shared" ref="D797:H797" si="87">D581</f>
        <v>4874.1432999999997</v>
      </c>
      <c r="E797" s="180">
        <f t="shared" si="87"/>
        <v>12362139.210000001</v>
      </c>
      <c r="F797" s="180">
        <f t="shared" si="87"/>
        <v>10591490732.5</v>
      </c>
      <c r="G797" s="180">
        <f t="shared" si="87"/>
        <v>3266249252.1999998</v>
      </c>
      <c r="H797" s="180">
        <f t="shared" si="87"/>
        <v>39333</v>
      </c>
      <c r="K797" s="28"/>
    </row>
    <row r="798" spans="1:11" s="586" customFormat="1" ht="17.100000000000001" customHeight="1" x14ac:dyDescent="0.25">
      <c r="A798" s="584">
        <v>34</v>
      </c>
      <c r="B798" s="180" t="s">
        <v>72</v>
      </c>
      <c r="C798" s="180">
        <f t="shared" ref="C798:H798" si="88">C589</f>
        <v>206</v>
      </c>
      <c r="D798" s="180">
        <f t="shared" si="88"/>
        <v>261.93</v>
      </c>
      <c r="E798" s="180">
        <f t="shared" si="88"/>
        <v>460471.46</v>
      </c>
      <c r="F798" s="180">
        <f t="shared" si="88"/>
        <v>673739240</v>
      </c>
      <c r="G798" s="180">
        <f t="shared" si="88"/>
        <v>156715716</v>
      </c>
      <c r="H798" s="180">
        <f t="shared" si="88"/>
        <v>2328</v>
      </c>
      <c r="K798" s="28"/>
    </row>
    <row r="799" spans="1:11" s="586" customFormat="1" ht="17.100000000000001" customHeight="1" x14ac:dyDescent="0.25">
      <c r="A799" s="584">
        <v>35</v>
      </c>
      <c r="B799" s="180" t="s">
        <v>44</v>
      </c>
      <c r="C799" s="180">
        <f>C613</f>
        <v>169</v>
      </c>
      <c r="D799" s="180">
        <f t="shared" ref="D799:H799" si="89">D613</f>
        <v>2052.1039999999998</v>
      </c>
      <c r="E799" s="180">
        <f t="shared" si="89"/>
        <v>3273226.7990909093</v>
      </c>
      <c r="F799" s="180">
        <f t="shared" si="89"/>
        <v>1765961076.1272728</v>
      </c>
      <c r="G799" s="180">
        <f t="shared" si="89"/>
        <v>577900257.45000005</v>
      </c>
      <c r="H799" s="180">
        <f t="shared" si="89"/>
        <v>1191</v>
      </c>
      <c r="K799" s="28"/>
    </row>
    <row r="800" spans="1:11" s="586" customFormat="1" ht="17.100000000000001" customHeight="1" x14ac:dyDescent="0.25">
      <c r="A800" s="584">
        <v>36</v>
      </c>
      <c r="B800" s="180" t="s">
        <v>73</v>
      </c>
      <c r="C800" s="180">
        <f t="shared" ref="C800" si="90">C622</f>
        <v>13</v>
      </c>
      <c r="D800" s="180">
        <f t="shared" ref="D800:H800" si="91">D622</f>
        <v>33.15</v>
      </c>
      <c r="E800" s="180">
        <f t="shared" si="91"/>
        <v>8424</v>
      </c>
      <c r="F800" s="180">
        <f t="shared" si="91"/>
        <v>16849060</v>
      </c>
      <c r="G800" s="180">
        <f t="shared" si="91"/>
        <v>2544267</v>
      </c>
      <c r="H800" s="180">
        <f t="shared" si="91"/>
        <v>55</v>
      </c>
      <c r="K800" s="28"/>
    </row>
    <row r="801" spans="1:11" s="586" customFormat="1" ht="17.100000000000001" customHeight="1" x14ac:dyDescent="0.25">
      <c r="A801" s="584">
        <v>37</v>
      </c>
      <c r="B801" s="180" t="s">
        <v>46</v>
      </c>
      <c r="C801" s="180">
        <f>C643</f>
        <v>176</v>
      </c>
      <c r="D801" s="180">
        <f t="shared" ref="D801:G801" si="92">D643</f>
        <v>6362.85</v>
      </c>
      <c r="E801" s="180">
        <f t="shared" si="92"/>
        <v>1526101.21</v>
      </c>
      <c r="F801" s="182">
        <f>F643</f>
        <v>2074851415</v>
      </c>
      <c r="G801" s="180">
        <f t="shared" si="92"/>
        <v>262059663</v>
      </c>
      <c r="H801" s="180">
        <f>H643</f>
        <v>2265</v>
      </c>
      <c r="K801" s="28"/>
    </row>
    <row r="802" spans="1:11" s="586" customFormat="1" ht="17.100000000000001" customHeight="1" x14ac:dyDescent="0.25">
      <c r="A802" s="180"/>
      <c r="B802" s="180" t="s">
        <v>75</v>
      </c>
      <c r="C802" s="180"/>
      <c r="D802" s="180">
        <f t="shared" ref="D802:H802" si="93">D703</f>
        <v>0</v>
      </c>
      <c r="E802" s="180">
        <f t="shared" si="93"/>
        <v>0</v>
      </c>
      <c r="F802" s="180">
        <f t="shared" si="93"/>
        <v>0</v>
      </c>
      <c r="G802" s="180">
        <f t="shared" si="93"/>
        <v>1149489469</v>
      </c>
      <c r="H802" s="180">
        <f t="shared" si="93"/>
        <v>0</v>
      </c>
      <c r="K802" s="28"/>
    </row>
    <row r="803" spans="1:11" s="586" customFormat="1" ht="17.100000000000001" customHeight="1" x14ac:dyDescent="0.25">
      <c r="A803" s="180"/>
      <c r="B803" s="180" t="s">
        <v>49</v>
      </c>
      <c r="C803" s="182">
        <f>C721</f>
        <v>0</v>
      </c>
      <c r="D803" s="182">
        <f t="shared" ref="D803:H803" si="94">D721</f>
        <v>0</v>
      </c>
      <c r="E803" s="182">
        <f t="shared" si="94"/>
        <v>0</v>
      </c>
      <c r="F803" s="182">
        <f t="shared" si="94"/>
        <v>0</v>
      </c>
      <c r="G803" s="182">
        <f>G757</f>
        <v>5627037465</v>
      </c>
      <c r="H803" s="182">
        <f t="shared" si="94"/>
        <v>0</v>
      </c>
      <c r="K803" s="28"/>
    </row>
    <row r="804" spans="1:11" s="432" customFormat="1" ht="17.100000000000001" customHeight="1" x14ac:dyDescent="0.25">
      <c r="A804" s="1147" t="s">
        <v>50</v>
      </c>
      <c r="B804" s="1148"/>
      <c r="C804" s="583">
        <f>SUM(C765:C803)</f>
        <v>17005</v>
      </c>
      <c r="D804" s="583">
        <f t="shared" ref="D804:H804" si="95">SUM(D765:D803)</f>
        <v>163194.4718</v>
      </c>
      <c r="E804" s="583">
        <f t="shared" si="95"/>
        <v>327988551.84341395</v>
      </c>
      <c r="F804" s="583">
        <f t="shared" si="95"/>
        <v>149017982266.48264</v>
      </c>
      <c r="G804" s="583">
        <f t="shared" si="95"/>
        <v>33881752900.050003</v>
      </c>
      <c r="H804" s="583">
        <f t="shared" si="95"/>
        <v>217138</v>
      </c>
      <c r="K804" s="28"/>
    </row>
  </sheetData>
  <mergeCells count="167">
    <mergeCell ref="A20:H20"/>
    <mergeCell ref="A28:H28"/>
    <mergeCell ref="A341:H341"/>
    <mergeCell ref="A410:H410"/>
    <mergeCell ref="A404:A405"/>
    <mergeCell ref="B404:B405"/>
    <mergeCell ref="A408:B408"/>
    <mergeCell ref="A437:H437"/>
    <mergeCell ref="A543:B543"/>
    <mergeCell ref="A392:H392"/>
    <mergeCell ref="A393:A394"/>
    <mergeCell ref="B393:B394"/>
    <mergeCell ref="A403:H403"/>
    <mergeCell ref="B202:B203"/>
    <mergeCell ref="A213:B213"/>
    <mergeCell ref="A216:A217"/>
    <mergeCell ref="B216:B217"/>
    <mergeCell ref="A339:B339"/>
    <mergeCell ref="A271:A272"/>
    <mergeCell ref="B271:B272"/>
    <mergeCell ref="A293:B293"/>
    <mergeCell ref="A296:A297"/>
    <mergeCell ref="B296:B297"/>
    <mergeCell ref="A306:B306"/>
    <mergeCell ref="B223:B224"/>
    <mergeCell ref="A270:H270"/>
    <mergeCell ref="A295:H295"/>
    <mergeCell ref="A308:H308"/>
    <mergeCell ref="A220:B220"/>
    <mergeCell ref="A215:H215"/>
    <mergeCell ref="A592:A593"/>
    <mergeCell ref="B592:B593"/>
    <mergeCell ref="B492:B493"/>
    <mergeCell ref="A497:B497"/>
    <mergeCell ref="A491:H491"/>
    <mergeCell ref="A515:H515"/>
    <mergeCell ref="A516:A517"/>
    <mergeCell ref="B516:B517"/>
    <mergeCell ref="A454:H454"/>
    <mergeCell ref="A455:A456"/>
    <mergeCell ref="B455:B456"/>
    <mergeCell ref="A470:B470"/>
    <mergeCell ref="A557:B557"/>
    <mergeCell ref="B500:B501"/>
    <mergeCell ref="A513:B513"/>
    <mergeCell ref="A546:A547"/>
    <mergeCell ref="A222:H222"/>
    <mergeCell ref="B59:B60"/>
    <mergeCell ref="A90:B90"/>
    <mergeCell ref="A106:H106"/>
    <mergeCell ref="A107:A108"/>
    <mergeCell ref="B107:B108"/>
    <mergeCell ref="A118:B118"/>
    <mergeCell ref="A100:A101"/>
    <mergeCell ref="B100:B101"/>
    <mergeCell ref="A104:B104"/>
    <mergeCell ref="A97:B97"/>
    <mergeCell ref="A93:A94"/>
    <mergeCell ref="B93:B94"/>
    <mergeCell ref="A92:H92"/>
    <mergeCell ref="A99:H99"/>
    <mergeCell ref="A761:H761"/>
    <mergeCell ref="A763:A764"/>
    <mergeCell ref="B763:B764"/>
    <mergeCell ref="A652:A653"/>
    <mergeCell ref="B652:B653"/>
    <mergeCell ref="A706:A707"/>
    <mergeCell ref="B706:B707"/>
    <mergeCell ref="A759:H759"/>
    <mergeCell ref="A760:H760"/>
    <mergeCell ref="A757:B757"/>
    <mergeCell ref="A149:A150"/>
    <mergeCell ref="B149:B150"/>
    <mergeCell ref="A649:B649"/>
    <mergeCell ref="A560:A561"/>
    <mergeCell ref="B560:B561"/>
    <mergeCell ref="A581:B581"/>
    <mergeCell ref="A584:A585"/>
    <mergeCell ref="B584:B585"/>
    <mergeCell ref="A589:B589"/>
    <mergeCell ref="A616:A617"/>
    <mergeCell ref="B616:B617"/>
    <mergeCell ref="A622:B622"/>
    <mergeCell ref="A646:A647"/>
    <mergeCell ref="B646:B647"/>
    <mergeCell ref="A625:A626"/>
    <mergeCell ref="B625:B626"/>
    <mergeCell ref="A643:B643"/>
    <mergeCell ref="A645:H645"/>
    <mergeCell ref="A613:B613"/>
    <mergeCell ref="A201:H201"/>
    <mergeCell ref="A202:A203"/>
    <mergeCell ref="A309:A310"/>
    <mergeCell ref="B309:B310"/>
    <mergeCell ref="A223:A224"/>
    <mergeCell ref="A146:B146"/>
    <mergeCell ref="A161:A162"/>
    <mergeCell ref="B161:B162"/>
    <mergeCell ref="A165:B165"/>
    <mergeCell ref="A160:H160"/>
    <mergeCell ref="A148:H148"/>
    <mergeCell ref="A168:H168"/>
    <mergeCell ref="A554:A555"/>
    <mergeCell ref="B554:B555"/>
    <mergeCell ref="A492:A493"/>
    <mergeCell ref="A452:B452"/>
    <mergeCell ref="A342:A343"/>
    <mergeCell ref="B342:B343"/>
    <mergeCell ref="A390:B390"/>
    <mergeCell ref="A401:B401"/>
    <mergeCell ref="A411:A412"/>
    <mergeCell ref="B411:B412"/>
    <mergeCell ref="A435:B435"/>
    <mergeCell ref="A438:A439"/>
    <mergeCell ref="B438:B439"/>
    <mergeCell ref="A473:A474"/>
    <mergeCell ref="B473:B474"/>
    <mergeCell ref="A489:B489"/>
    <mergeCell ref="A500:A501"/>
    <mergeCell ref="B142:B143"/>
    <mergeCell ref="A1:H1"/>
    <mergeCell ref="A2:H2"/>
    <mergeCell ref="A3:H3"/>
    <mergeCell ref="A21:A22"/>
    <mergeCell ref="B21:B22"/>
    <mergeCell ref="A26:B26"/>
    <mergeCell ref="A29:A30"/>
    <mergeCell ref="B29:B30"/>
    <mergeCell ref="A56:B56"/>
    <mergeCell ref="A4:H4"/>
    <mergeCell ref="A5:A6"/>
    <mergeCell ref="B5:B6"/>
    <mergeCell ref="A11:B11"/>
    <mergeCell ref="A70:B70"/>
    <mergeCell ref="A72:H72"/>
    <mergeCell ref="A73:A74"/>
    <mergeCell ref="B73:B74"/>
    <mergeCell ref="A58:H58"/>
    <mergeCell ref="A13:H13"/>
    <mergeCell ref="A14:A15"/>
    <mergeCell ref="B14:B15"/>
    <mergeCell ref="A18:B18"/>
    <mergeCell ref="A59:A60"/>
    <mergeCell ref="A804:B804"/>
    <mergeCell ref="A121:H121"/>
    <mergeCell ref="A651:H651"/>
    <mergeCell ref="A705:H705"/>
    <mergeCell ref="A472:H472"/>
    <mergeCell ref="A499:H499"/>
    <mergeCell ref="A545:H545"/>
    <mergeCell ref="A553:H553"/>
    <mergeCell ref="A559:H559"/>
    <mergeCell ref="A583:H583"/>
    <mergeCell ref="A591:H591"/>
    <mergeCell ref="A615:H615"/>
    <mergeCell ref="A624:H624"/>
    <mergeCell ref="B546:B547"/>
    <mergeCell ref="A551:B551"/>
    <mergeCell ref="A157:B157"/>
    <mergeCell ref="A169:A170"/>
    <mergeCell ref="B169:B170"/>
    <mergeCell ref="A199:B199"/>
    <mergeCell ref="A122:A123"/>
    <mergeCell ref="B122:B123"/>
    <mergeCell ref="A139:B139"/>
    <mergeCell ref="A141:H141"/>
    <mergeCell ref="A142:A143"/>
  </mergeCells>
  <pageMargins left="0.7" right="0.7" top="0.54" bottom="0.35" header="0.3" footer="0.3"/>
  <pageSetup scale="66" orientation="portrait" r:id="rId1"/>
  <rowBreaks count="5" manualBreakCount="5">
    <brk id="584" max="7" man="1"/>
    <brk id="650" max="7" man="1"/>
    <brk id="704" max="7" man="1"/>
    <brk id="757" max="7" man="1"/>
    <brk id="758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"/>
  <sheetViews>
    <sheetView topLeftCell="A109" zoomScale="115" zoomScaleNormal="115" workbookViewId="0">
      <selection activeCell="J129" sqref="J129"/>
    </sheetView>
  </sheetViews>
  <sheetFormatPr defaultColWidth="9.140625" defaultRowHeight="15" x14ac:dyDescent="0.25"/>
  <cols>
    <col min="1" max="1" width="6" style="120" customWidth="1"/>
    <col min="2" max="2" width="21" style="120" customWidth="1"/>
    <col min="3" max="3" width="9.5703125" style="120" customWidth="1"/>
    <col min="4" max="4" width="14.28515625" style="757" customWidth="1"/>
    <col min="5" max="5" width="16.42578125" style="118" customWidth="1"/>
    <col min="6" max="6" width="23.140625" style="120" customWidth="1"/>
    <col min="7" max="7" width="15.7109375" style="120" customWidth="1"/>
    <col min="8" max="8" width="13.140625" style="120" customWidth="1"/>
    <col min="9" max="9" width="19.5703125" style="120" customWidth="1"/>
    <col min="10" max="10" width="19.42578125" style="120" customWidth="1"/>
    <col min="11" max="11" width="8.28515625" style="120" customWidth="1"/>
    <col min="12" max="12" width="11.7109375" style="120" customWidth="1"/>
    <col min="13" max="13" width="17.42578125" style="120" customWidth="1"/>
    <col min="14" max="14" width="14.140625" style="120" customWidth="1"/>
    <col min="15" max="15" width="13.28515625" style="120" customWidth="1"/>
    <col min="16" max="16" width="8.42578125" style="120" customWidth="1"/>
    <col min="17" max="16384" width="9.140625" style="120"/>
  </cols>
  <sheetData>
    <row r="1" spans="1:10" ht="30.75" x14ac:dyDescent="0.25">
      <c r="A1" s="1171" t="s">
        <v>0</v>
      </c>
      <c r="B1" s="1171"/>
      <c r="C1" s="1171"/>
      <c r="D1" s="1171"/>
      <c r="E1" s="1171"/>
      <c r="F1" s="1171"/>
      <c r="G1" s="1171"/>
      <c r="H1" s="1171"/>
    </row>
    <row r="2" spans="1:10" ht="25.5" x14ac:dyDescent="0.25">
      <c r="A2" s="1172" t="s">
        <v>157</v>
      </c>
      <c r="B2" s="1172"/>
      <c r="C2" s="1172"/>
      <c r="D2" s="1172"/>
      <c r="E2" s="1172"/>
      <c r="F2" s="1172"/>
      <c r="G2" s="1172"/>
      <c r="H2" s="1172"/>
    </row>
    <row r="3" spans="1:10" ht="22.5" x14ac:dyDescent="0.25">
      <c r="A3" s="1141" t="str">
        <f>'Major Minerals'!A3:H3</f>
        <v>Financial Year 2023-24</v>
      </c>
      <c r="B3" s="1141"/>
      <c r="C3" s="1141"/>
      <c r="D3" s="1141"/>
      <c r="E3" s="1141"/>
      <c r="F3" s="1141"/>
      <c r="G3" s="1141"/>
      <c r="H3" s="1141"/>
    </row>
    <row r="4" spans="1:10" ht="20.25" x14ac:dyDescent="0.25">
      <c r="A4" s="30"/>
      <c r="B4" s="124"/>
      <c r="C4" s="124"/>
      <c r="D4" s="125"/>
      <c r="E4" s="126"/>
      <c r="F4" s="124"/>
      <c r="G4" s="124"/>
      <c r="H4" s="753"/>
    </row>
    <row r="5" spans="1:10" ht="20.25" customHeight="1" x14ac:dyDescent="0.3">
      <c r="A5" s="1173" t="s">
        <v>138</v>
      </c>
      <c r="B5" s="1173"/>
      <c r="C5" s="1173"/>
      <c r="D5" s="1173"/>
      <c r="E5" s="1173"/>
      <c r="F5" s="1173"/>
      <c r="G5" s="1173"/>
      <c r="H5" s="1173"/>
    </row>
    <row r="6" spans="1:10" s="334" customFormat="1" ht="17.100000000000001" customHeight="1" x14ac:dyDescent="0.25">
      <c r="A6" s="1165" t="s">
        <v>2</v>
      </c>
      <c r="B6" s="1166" t="s">
        <v>3</v>
      </c>
      <c r="C6" s="1166" t="s">
        <v>4</v>
      </c>
      <c r="D6" s="48" t="s">
        <v>5</v>
      </c>
      <c r="E6" s="49" t="s">
        <v>6</v>
      </c>
      <c r="F6" s="50" t="s">
        <v>7</v>
      </c>
      <c r="G6" s="50" t="s">
        <v>8</v>
      </c>
      <c r="H6" s="50" t="s">
        <v>9</v>
      </c>
      <c r="J6" s="748" t="s">
        <v>654</v>
      </c>
    </row>
    <row r="7" spans="1:10" s="334" customFormat="1" ht="17.100000000000001" customHeight="1" x14ac:dyDescent="0.25">
      <c r="A7" s="1165"/>
      <c r="B7" s="1167"/>
      <c r="C7" s="1169"/>
      <c r="D7" s="51" t="s">
        <v>78</v>
      </c>
      <c r="E7" s="52" t="s">
        <v>657</v>
      </c>
      <c r="F7" s="52" t="s">
        <v>80</v>
      </c>
      <c r="G7" s="52" t="s">
        <v>80</v>
      </c>
      <c r="H7" s="53"/>
    </row>
    <row r="8" spans="1:10" s="334" customFormat="1" ht="17.100000000000001" customHeight="1" x14ac:dyDescent="0.2">
      <c r="A8" s="63">
        <v>1</v>
      </c>
      <c r="B8" s="273" t="s">
        <v>161</v>
      </c>
      <c r="C8" s="954">
        <v>1</v>
      </c>
      <c r="D8" s="954">
        <v>4.3636999999999997</v>
      </c>
      <c r="E8" s="954">
        <v>1050</v>
      </c>
      <c r="F8" s="954">
        <f>E8*4100</f>
        <v>4305000</v>
      </c>
      <c r="G8" s="218">
        <v>172200</v>
      </c>
      <c r="H8" s="218">
        <v>0</v>
      </c>
    </row>
    <row r="9" spans="1:10" s="334" customFormat="1" ht="17.100000000000001" customHeight="1" x14ac:dyDescent="0.25">
      <c r="A9" s="1159" t="s">
        <v>158</v>
      </c>
      <c r="B9" s="1161"/>
      <c r="C9" s="479">
        <f>SUM(C8:C8)</f>
        <v>1</v>
      </c>
      <c r="D9" s="480">
        <f>SUM(D8:D8)</f>
        <v>4.3636999999999997</v>
      </c>
      <c r="E9" s="480"/>
      <c r="F9" s="481">
        <f>SUM(F8:F8)/10000000</f>
        <v>0.43049999999999999</v>
      </c>
      <c r="G9" s="481">
        <f>SUM(G8:G8)</f>
        <v>172200</v>
      </c>
      <c r="H9" s="300">
        <f>SUM(H8:H8)</f>
        <v>0</v>
      </c>
    </row>
    <row r="10" spans="1:10" s="334" customFormat="1" ht="17.100000000000001" customHeight="1" x14ac:dyDescent="0.25">
      <c r="A10" s="482"/>
      <c r="B10" s="431"/>
      <c r="C10" s="349"/>
      <c r="D10" s="483"/>
      <c r="E10" s="351"/>
      <c r="F10" s="351"/>
      <c r="G10" s="351"/>
      <c r="H10" s="21"/>
    </row>
    <row r="11" spans="1:10" s="334" customFormat="1" ht="17.100000000000001" customHeight="1" x14ac:dyDescent="0.25">
      <c r="A11" s="1163" t="s">
        <v>92</v>
      </c>
      <c r="B11" s="1163"/>
      <c r="C11" s="1163"/>
      <c r="D11" s="1163"/>
      <c r="E11" s="1163"/>
      <c r="F11" s="1163"/>
      <c r="G11" s="1163"/>
      <c r="H11" s="1163"/>
    </row>
    <row r="12" spans="1:10" s="334" customFormat="1" ht="17.100000000000001" customHeight="1" x14ac:dyDescent="0.25">
      <c r="A12" s="1165" t="s">
        <v>2</v>
      </c>
      <c r="B12" s="1166" t="s">
        <v>3</v>
      </c>
      <c r="C12" s="1166" t="s">
        <v>4</v>
      </c>
      <c r="D12" s="48" t="s">
        <v>5</v>
      </c>
      <c r="E12" s="49" t="s">
        <v>6</v>
      </c>
      <c r="F12" s="50" t="s">
        <v>7</v>
      </c>
      <c r="G12" s="50" t="s">
        <v>8</v>
      </c>
      <c r="H12" s="50" t="s">
        <v>9</v>
      </c>
    </row>
    <row r="13" spans="1:10" s="334" customFormat="1" ht="17.100000000000001" customHeight="1" x14ac:dyDescent="0.25">
      <c r="A13" s="1165"/>
      <c r="B13" s="1167"/>
      <c r="C13" s="1167"/>
      <c r="D13" s="51" t="s">
        <v>78</v>
      </c>
      <c r="E13" s="52" t="s">
        <v>657</v>
      </c>
      <c r="F13" s="52" t="s">
        <v>80</v>
      </c>
      <c r="G13" s="52" t="s">
        <v>80</v>
      </c>
      <c r="H13" s="54" t="s">
        <v>13</v>
      </c>
    </row>
    <row r="14" spans="1:10" s="334" customFormat="1" ht="17.100000000000001" customHeight="1" x14ac:dyDescent="0.25">
      <c r="A14" s="63">
        <v>1</v>
      </c>
      <c r="B14" s="274" t="s">
        <v>48</v>
      </c>
      <c r="C14" s="204">
        <v>1</v>
      </c>
      <c r="D14" s="204">
        <v>5</v>
      </c>
      <c r="E14" s="204">
        <v>0</v>
      </c>
      <c r="F14" s="204">
        <v>0</v>
      </c>
      <c r="G14" s="204">
        <v>0</v>
      </c>
      <c r="H14" s="204">
        <v>0</v>
      </c>
      <c r="I14" s="334" t="e">
        <f t="shared" ref="I14:I71" si="0">F14/E14</f>
        <v>#DIV/0!</v>
      </c>
      <c r="J14" s="334">
        <v>947.00039068391118</v>
      </c>
    </row>
    <row r="15" spans="1:10" s="334" customFormat="1" ht="17.100000000000001" customHeight="1" x14ac:dyDescent="0.25">
      <c r="A15" s="63">
        <v>2</v>
      </c>
      <c r="B15" s="274" t="s">
        <v>462</v>
      </c>
      <c r="C15" s="204">
        <v>2</v>
      </c>
      <c r="D15" s="204">
        <f>4.9+4.9</f>
        <v>9.8000000000000007</v>
      </c>
      <c r="E15" s="204">
        <v>0</v>
      </c>
      <c r="F15" s="216">
        <v>0</v>
      </c>
      <c r="G15" s="204">
        <v>0</v>
      </c>
      <c r="H15" s="143">
        <v>0</v>
      </c>
      <c r="I15" s="334" t="e">
        <f t="shared" si="0"/>
        <v>#DIV/0!</v>
      </c>
      <c r="J15" s="334" t="e">
        <v>#DIV/0!</v>
      </c>
    </row>
    <row r="16" spans="1:10" s="334" customFormat="1" ht="17.100000000000001" customHeight="1" x14ac:dyDescent="0.25">
      <c r="A16" s="63">
        <v>3</v>
      </c>
      <c r="B16" s="274" t="s">
        <v>463</v>
      </c>
      <c r="C16" s="204">
        <v>1</v>
      </c>
      <c r="D16" s="204">
        <v>46.32</v>
      </c>
      <c r="E16" s="204">
        <v>0</v>
      </c>
      <c r="F16" s="204">
        <v>0</v>
      </c>
      <c r="G16" s="204">
        <v>370560</v>
      </c>
      <c r="H16" s="204">
        <v>0</v>
      </c>
      <c r="I16" s="334" t="e">
        <f t="shared" si="0"/>
        <v>#DIV/0!</v>
      </c>
      <c r="J16" s="334" t="e">
        <v>#DIV/0!</v>
      </c>
    </row>
    <row r="17" spans="1:10" s="334" customFormat="1" ht="17.100000000000001" customHeight="1" x14ac:dyDescent="0.25">
      <c r="A17" s="63">
        <v>4</v>
      </c>
      <c r="B17" s="274" t="s">
        <v>36</v>
      </c>
      <c r="C17" s="204">
        <v>0</v>
      </c>
      <c r="D17" s="204">
        <v>0</v>
      </c>
      <c r="E17" s="204">
        <v>0</v>
      </c>
      <c r="F17" s="216">
        <v>0</v>
      </c>
      <c r="G17" s="204">
        <v>0</v>
      </c>
      <c r="H17" s="143">
        <v>0</v>
      </c>
      <c r="I17" s="334" t="e">
        <f t="shared" si="0"/>
        <v>#DIV/0!</v>
      </c>
      <c r="J17" s="334" t="e">
        <v>#DIV/0!</v>
      </c>
    </row>
    <row r="18" spans="1:10" s="334" customFormat="1" ht="17.100000000000001" customHeight="1" x14ac:dyDescent="0.25">
      <c r="A18" s="63">
        <v>5</v>
      </c>
      <c r="B18" s="274" t="s">
        <v>160</v>
      </c>
      <c r="C18" s="204">
        <v>1</v>
      </c>
      <c r="D18" s="204">
        <v>480.45</v>
      </c>
      <c r="E18" s="204">
        <v>564113</v>
      </c>
      <c r="F18" s="216">
        <f>E18*16000</f>
        <v>9025808000</v>
      </c>
      <c r="G18" s="204">
        <v>781402433</v>
      </c>
      <c r="H18" s="143">
        <v>456</v>
      </c>
      <c r="I18" s="334">
        <v>16000</v>
      </c>
      <c r="J18" s="334">
        <v>16000</v>
      </c>
    </row>
    <row r="19" spans="1:10" s="334" customFormat="1" ht="17.100000000000001" customHeight="1" x14ac:dyDescent="0.25">
      <c r="A19" s="63">
        <v>6</v>
      </c>
      <c r="B19" s="274" t="s">
        <v>30</v>
      </c>
      <c r="C19" s="143">
        <v>0</v>
      </c>
      <c r="D19" s="143">
        <v>0</v>
      </c>
      <c r="E19" s="143">
        <v>0</v>
      </c>
      <c r="F19" s="143">
        <v>0</v>
      </c>
      <c r="G19" s="143">
        <v>0</v>
      </c>
      <c r="H19" s="143">
        <v>0</v>
      </c>
    </row>
    <row r="20" spans="1:10" s="334" customFormat="1" ht="17.100000000000001" customHeight="1" x14ac:dyDescent="0.25">
      <c r="A20" s="63">
        <v>7</v>
      </c>
      <c r="B20" s="274" t="s">
        <v>47</v>
      </c>
      <c r="C20" s="204">
        <v>0</v>
      </c>
      <c r="D20" s="204">
        <v>0</v>
      </c>
      <c r="E20" s="204">
        <v>0</v>
      </c>
      <c r="F20" s="216">
        <v>0</v>
      </c>
      <c r="G20" s="204">
        <v>0</v>
      </c>
      <c r="H20" s="143">
        <v>0</v>
      </c>
    </row>
    <row r="21" spans="1:10" s="334" customFormat="1" ht="17.100000000000001" customHeight="1" x14ac:dyDescent="0.25">
      <c r="A21" s="1159" t="s">
        <v>158</v>
      </c>
      <c r="B21" s="1161"/>
      <c r="C21" s="484">
        <f>SUM(C14:C20)</f>
        <v>5</v>
      </c>
      <c r="D21" s="485">
        <f t="shared" ref="D21:H21" si="1">SUM(D14:D20)</f>
        <v>541.56999999999994</v>
      </c>
      <c r="E21" s="481">
        <f t="shared" si="1"/>
        <v>564113</v>
      </c>
      <c r="F21" s="481">
        <f t="shared" si="1"/>
        <v>9025808000</v>
      </c>
      <c r="G21" s="484">
        <f>SUM(G14:G20)</f>
        <v>781772993</v>
      </c>
      <c r="H21" s="481">
        <f t="shared" si="1"/>
        <v>456</v>
      </c>
    </row>
    <row r="22" spans="1:10" s="334" customFormat="1" ht="17.100000000000001" customHeight="1" x14ac:dyDescent="0.25">
      <c r="A22" s="482"/>
      <c r="B22" s="431"/>
      <c r="C22" s="349"/>
      <c r="D22" s="483"/>
      <c r="E22" s="351"/>
      <c r="F22" s="351"/>
      <c r="G22" s="351"/>
      <c r="H22" s="21"/>
    </row>
    <row r="23" spans="1:10" s="334" customFormat="1" ht="17.100000000000001" customHeight="1" x14ac:dyDescent="0.25">
      <c r="A23" s="1163" t="s">
        <v>86</v>
      </c>
      <c r="B23" s="1163"/>
      <c r="C23" s="1163"/>
      <c r="D23" s="1163"/>
      <c r="E23" s="1163"/>
      <c r="F23" s="1163"/>
      <c r="G23" s="1163"/>
      <c r="H23" s="1163"/>
    </row>
    <row r="24" spans="1:10" s="334" customFormat="1" ht="17.100000000000001" customHeight="1" x14ac:dyDescent="0.25">
      <c r="A24" s="1165" t="s">
        <v>2</v>
      </c>
      <c r="B24" s="1166" t="s">
        <v>3</v>
      </c>
      <c r="C24" s="1166" t="s">
        <v>4</v>
      </c>
      <c r="D24" s="48" t="s">
        <v>5</v>
      </c>
      <c r="E24" s="49" t="s">
        <v>6</v>
      </c>
      <c r="F24" s="50" t="s">
        <v>7</v>
      </c>
      <c r="G24" s="50" t="s">
        <v>8</v>
      </c>
      <c r="H24" s="50" t="s">
        <v>9</v>
      </c>
    </row>
    <row r="25" spans="1:10" s="334" customFormat="1" ht="17.100000000000001" customHeight="1" x14ac:dyDescent="0.25">
      <c r="A25" s="1165"/>
      <c r="B25" s="1167"/>
      <c r="C25" s="1169"/>
      <c r="D25" s="55" t="s">
        <v>78</v>
      </c>
      <c r="E25" s="52" t="s">
        <v>657</v>
      </c>
      <c r="F25" s="52" t="s">
        <v>80</v>
      </c>
      <c r="G25" s="52" t="s">
        <v>80</v>
      </c>
      <c r="H25" s="53" t="s">
        <v>13</v>
      </c>
    </row>
    <row r="26" spans="1:10" s="334" customFormat="1" ht="17.100000000000001" customHeight="1" x14ac:dyDescent="0.25">
      <c r="A26" s="63">
        <v>1</v>
      </c>
      <c r="B26" s="274" t="s">
        <v>17</v>
      </c>
      <c r="C26" s="204">
        <v>0</v>
      </c>
      <c r="D26" s="204">
        <v>0</v>
      </c>
      <c r="E26" s="204">
        <v>0</v>
      </c>
      <c r="F26" s="204">
        <v>0</v>
      </c>
      <c r="G26" s="204">
        <v>0</v>
      </c>
      <c r="H26" s="204">
        <v>0</v>
      </c>
    </row>
    <row r="27" spans="1:10" s="334" customFormat="1" ht="17.100000000000001" customHeight="1" x14ac:dyDescent="0.25">
      <c r="A27" s="1159" t="s">
        <v>158</v>
      </c>
      <c r="B27" s="1161"/>
      <c r="C27" s="484">
        <f t="shared" ref="C27:H27" si="2">SUM(C26:C26)</f>
        <v>0</v>
      </c>
      <c r="D27" s="485">
        <f t="shared" si="2"/>
        <v>0</v>
      </c>
      <c r="E27" s="481">
        <f t="shared" si="2"/>
        <v>0</v>
      </c>
      <c r="F27" s="481">
        <f t="shared" si="2"/>
        <v>0</v>
      </c>
      <c r="G27" s="481">
        <f t="shared" si="2"/>
        <v>0</v>
      </c>
      <c r="H27" s="484">
        <f t="shared" si="2"/>
        <v>0</v>
      </c>
    </row>
    <row r="28" spans="1:10" s="334" customFormat="1" ht="17.100000000000001" customHeight="1" x14ac:dyDescent="0.25">
      <c r="A28" s="482"/>
      <c r="B28" s="431"/>
      <c r="C28" s="349"/>
      <c r="D28" s="483"/>
      <c r="E28" s="351"/>
      <c r="F28" s="351"/>
      <c r="G28" s="351"/>
      <c r="H28" s="21"/>
    </row>
    <row r="29" spans="1:10" s="334" customFormat="1" ht="17.100000000000001" customHeight="1" x14ac:dyDescent="0.25">
      <c r="A29" s="1163" t="s">
        <v>150</v>
      </c>
      <c r="B29" s="1163"/>
      <c r="C29" s="1163"/>
      <c r="D29" s="1163"/>
      <c r="E29" s="1163"/>
      <c r="F29" s="1163"/>
      <c r="G29" s="1163"/>
      <c r="H29" s="1163"/>
    </row>
    <row r="30" spans="1:10" s="334" customFormat="1" ht="17.100000000000001" customHeight="1" x14ac:dyDescent="0.25">
      <c r="A30" s="1165" t="s">
        <v>2</v>
      </c>
      <c r="B30" s="1166" t="s">
        <v>3</v>
      </c>
      <c r="C30" s="1166" t="s">
        <v>4</v>
      </c>
      <c r="D30" s="48" t="s">
        <v>5</v>
      </c>
      <c r="E30" s="49" t="s">
        <v>6</v>
      </c>
      <c r="F30" s="50" t="s">
        <v>7</v>
      </c>
      <c r="G30" s="50" t="s">
        <v>8</v>
      </c>
      <c r="H30" s="50" t="s">
        <v>9</v>
      </c>
    </row>
    <row r="31" spans="1:10" s="334" customFormat="1" ht="17.100000000000001" customHeight="1" x14ac:dyDescent="0.25">
      <c r="A31" s="1165"/>
      <c r="B31" s="1167"/>
      <c r="C31" s="1167"/>
      <c r="D31" s="51" t="s">
        <v>78</v>
      </c>
      <c r="E31" s="52" t="s">
        <v>657</v>
      </c>
      <c r="F31" s="52" t="s">
        <v>80</v>
      </c>
      <c r="G31" s="52" t="s">
        <v>80</v>
      </c>
      <c r="H31" s="54" t="s">
        <v>13</v>
      </c>
    </row>
    <row r="32" spans="1:10" s="334" customFormat="1" ht="17.100000000000001" customHeight="1" x14ac:dyDescent="0.25">
      <c r="A32" s="276">
        <v>1</v>
      </c>
      <c r="B32" s="274" t="s">
        <v>21</v>
      </c>
      <c r="C32" s="143">
        <v>1</v>
      </c>
      <c r="D32" s="277">
        <v>18.898</v>
      </c>
      <c r="E32" s="217">
        <v>997.58</v>
      </c>
      <c r="F32" s="217">
        <v>3491530</v>
      </c>
      <c r="G32" s="217">
        <v>276000</v>
      </c>
      <c r="H32" s="217">
        <v>20</v>
      </c>
      <c r="I32" s="334">
        <f t="shared" si="0"/>
        <v>3500</v>
      </c>
      <c r="J32" s="334">
        <v>3200</v>
      </c>
    </row>
    <row r="33" spans="1:10" s="334" customFormat="1" ht="17.100000000000001" customHeight="1" x14ac:dyDescent="0.25">
      <c r="A33" s="276">
        <v>2</v>
      </c>
      <c r="B33" s="274" t="s">
        <v>35</v>
      </c>
      <c r="C33" s="143">
        <v>1</v>
      </c>
      <c r="D33" s="277">
        <v>65.819999999999993</v>
      </c>
      <c r="E33" s="217">
        <v>1347996.7</v>
      </c>
      <c r="F33" s="217">
        <v>876197835</v>
      </c>
      <c r="G33" s="63">
        <v>107990640</v>
      </c>
      <c r="H33" s="63">
        <v>125</v>
      </c>
      <c r="I33" s="334">
        <f t="shared" si="0"/>
        <v>649.9999851631685</v>
      </c>
      <c r="J33" s="334">
        <v>749.99999960841092</v>
      </c>
    </row>
    <row r="34" spans="1:10" s="334" customFormat="1" ht="17.100000000000001" customHeight="1" x14ac:dyDescent="0.25">
      <c r="A34" s="1159" t="s">
        <v>158</v>
      </c>
      <c r="B34" s="1161"/>
      <c r="C34" s="481">
        <f t="shared" ref="C34:H34" si="3">SUM(C32:C33)</f>
        <v>2</v>
      </c>
      <c r="D34" s="485">
        <f t="shared" si="3"/>
        <v>84.717999999999989</v>
      </c>
      <c r="E34" s="481">
        <f t="shared" si="3"/>
        <v>1348994.28</v>
      </c>
      <c r="F34" s="481">
        <f t="shared" si="3"/>
        <v>879689365</v>
      </c>
      <c r="G34" s="481">
        <f>SUM(G32:G33)</f>
        <v>108266640</v>
      </c>
      <c r="H34" s="481">
        <f t="shared" si="3"/>
        <v>145</v>
      </c>
    </row>
    <row r="35" spans="1:10" s="334" customFormat="1" ht="17.100000000000001" customHeight="1" x14ac:dyDescent="0.25">
      <c r="A35" s="482"/>
      <c r="B35" s="431"/>
      <c r="C35" s="349"/>
      <c r="D35" s="483"/>
      <c r="E35" s="351"/>
      <c r="F35" s="351"/>
      <c r="G35" s="351"/>
      <c r="H35" s="21"/>
    </row>
    <row r="36" spans="1:10" s="334" customFormat="1" ht="17.100000000000001" customHeight="1" x14ac:dyDescent="0.25">
      <c r="A36" s="1163" t="s">
        <v>151</v>
      </c>
      <c r="B36" s="1163"/>
      <c r="C36" s="1163"/>
      <c r="D36" s="1163"/>
      <c r="E36" s="1163"/>
      <c r="F36" s="1163"/>
      <c r="G36" s="1163"/>
      <c r="H36" s="1163"/>
    </row>
    <row r="37" spans="1:10" s="334" customFormat="1" ht="17.100000000000001" customHeight="1" x14ac:dyDescent="0.25">
      <c r="A37" s="1165" t="s">
        <v>2</v>
      </c>
      <c r="B37" s="1166" t="s">
        <v>3</v>
      </c>
      <c r="C37" s="1166" t="s">
        <v>4</v>
      </c>
      <c r="D37" s="48" t="s">
        <v>5</v>
      </c>
      <c r="E37" s="49" t="s">
        <v>6</v>
      </c>
      <c r="F37" s="50" t="s">
        <v>7</v>
      </c>
      <c r="G37" s="50" t="s">
        <v>8</v>
      </c>
      <c r="H37" s="50" t="s">
        <v>9</v>
      </c>
    </row>
    <row r="38" spans="1:10" s="334" customFormat="1" ht="17.100000000000001" customHeight="1" x14ac:dyDescent="0.25">
      <c r="A38" s="1165"/>
      <c r="B38" s="1167"/>
      <c r="C38" s="1167"/>
      <c r="D38" s="51" t="s">
        <v>78</v>
      </c>
      <c r="E38" s="52" t="s">
        <v>657</v>
      </c>
      <c r="F38" s="52" t="s">
        <v>80</v>
      </c>
      <c r="G38" s="52" t="s">
        <v>80</v>
      </c>
      <c r="H38" s="54" t="s">
        <v>13</v>
      </c>
    </row>
    <row r="39" spans="1:10" s="334" customFormat="1" ht="17.100000000000001" customHeight="1" x14ac:dyDescent="0.25">
      <c r="A39" s="145">
        <v>1</v>
      </c>
      <c r="B39" s="274" t="s">
        <v>34</v>
      </c>
      <c r="C39" s="63">
        <v>4</v>
      </c>
      <c r="D39" s="278">
        <v>11358.14</v>
      </c>
      <c r="E39" s="217">
        <v>7285551.5800000001</v>
      </c>
      <c r="F39" s="217">
        <v>16756768634</v>
      </c>
      <c r="G39" s="217">
        <v>1133159442</v>
      </c>
      <c r="H39" s="63">
        <v>95</v>
      </c>
      <c r="I39" s="334">
        <v>2000</v>
      </c>
      <c r="J39" s="334">
        <v>1950</v>
      </c>
    </row>
    <row r="40" spans="1:10" s="334" customFormat="1" ht="17.100000000000001" customHeight="1" x14ac:dyDescent="0.25">
      <c r="A40" s="145">
        <v>2</v>
      </c>
      <c r="B40" s="274" t="s">
        <v>163</v>
      </c>
      <c r="C40" s="63">
        <v>8</v>
      </c>
      <c r="D40" s="278">
        <v>82.98</v>
      </c>
      <c r="E40" s="217">
        <v>27676</v>
      </c>
      <c r="F40" s="217">
        <v>20756977</v>
      </c>
      <c r="G40" s="217">
        <v>2523034</v>
      </c>
      <c r="H40" s="217">
        <v>24</v>
      </c>
      <c r="I40" s="334">
        <f t="shared" si="0"/>
        <v>749.99916895505135</v>
      </c>
      <c r="J40" s="334">
        <v>750</v>
      </c>
    </row>
    <row r="41" spans="1:10" s="334" customFormat="1" ht="17.100000000000001" customHeight="1" x14ac:dyDescent="0.25">
      <c r="A41" s="145">
        <v>3</v>
      </c>
      <c r="B41" s="274" t="s">
        <v>43</v>
      </c>
      <c r="C41" s="63">
        <v>3</v>
      </c>
      <c r="D41" s="278">
        <v>480.35</v>
      </c>
      <c r="E41" s="217">
        <v>10671</v>
      </c>
      <c r="F41" s="217">
        <v>18675090</v>
      </c>
      <c r="G41" s="217">
        <v>1812550</v>
      </c>
      <c r="H41" s="217">
        <v>25</v>
      </c>
      <c r="I41" s="334">
        <f t="shared" si="0"/>
        <v>1750.078718020804</v>
      </c>
      <c r="J41" s="334">
        <v>2350</v>
      </c>
    </row>
    <row r="42" spans="1:10" s="334" customFormat="1" ht="17.100000000000001" customHeight="1" x14ac:dyDescent="0.25">
      <c r="A42" s="1159" t="s">
        <v>158</v>
      </c>
      <c r="B42" s="1161"/>
      <c r="C42" s="300">
        <f t="shared" ref="C42:H42" si="4">SUM(C39:C41)</f>
        <v>15</v>
      </c>
      <c r="D42" s="485">
        <f t="shared" si="4"/>
        <v>11921.47</v>
      </c>
      <c r="E42" s="481">
        <f>SUM(E39:E41)</f>
        <v>7323898.5800000001</v>
      </c>
      <c r="F42" s="481">
        <f>SUM(F39:F41)</f>
        <v>16796200701</v>
      </c>
      <c r="G42" s="481">
        <f>SUM(G39:G41)</f>
        <v>1137495026</v>
      </c>
      <c r="H42" s="481">
        <f t="shared" si="4"/>
        <v>144</v>
      </c>
    </row>
    <row r="43" spans="1:10" s="334" customFormat="1" ht="17.100000000000001" customHeight="1" x14ac:dyDescent="0.25">
      <c r="A43" s="482"/>
      <c r="B43" s="486"/>
      <c r="C43" s="427"/>
      <c r="D43" s="425"/>
      <c r="E43" s="346"/>
      <c r="F43" s="346"/>
      <c r="G43" s="346"/>
      <c r="H43" s="344"/>
    </row>
    <row r="44" spans="1:10" s="334" customFormat="1" ht="17.100000000000001" customHeight="1" x14ac:dyDescent="0.25">
      <c r="A44" s="1163" t="s">
        <v>191</v>
      </c>
      <c r="B44" s="1163"/>
      <c r="C44" s="1163"/>
      <c r="D44" s="1163"/>
      <c r="E44" s="1163"/>
      <c r="F44" s="1163"/>
      <c r="G44" s="1163"/>
      <c r="H44" s="1163"/>
    </row>
    <row r="45" spans="1:10" s="334" customFormat="1" ht="17.100000000000001" customHeight="1" x14ac:dyDescent="0.25">
      <c r="A45" s="1165" t="s">
        <v>2</v>
      </c>
      <c r="B45" s="1166" t="s">
        <v>3</v>
      </c>
      <c r="C45" s="1166" t="s">
        <v>4</v>
      </c>
      <c r="D45" s="48" t="s">
        <v>5</v>
      </c>
      <c r="E45" s="49" t="s">
        <v>6</v>
      </c>
      <c r="F45" s="50" t="s">
        <v>7</v>
      </c>
      <c r="G45" s="50" t="s">
        <v>8</v>
      </c>
      <c r="H45" s="50" t="s">
        <v>9</v>
      </c>
    </row>
    <row r="46" spans="1:10" s="334" customFormat="1" ht="17.100000000000001" customHeight="1" x14ac:dyDescent="0.25">
      <c r="A46" s="1165"/>
      <c r="B46" s="1167"/>
      <c r="C46" s="1167"/>
      <c r="D46" s="51" t="s">
        <v>78</v>
      </c>
      <c r="E46" s="52" t="s">
        <v>657</v>
      </c>
      <c r="F46" s="52" t="s">
        <v>80</v>
      </c>
      <c r="G46" s="52" t="s">
        <v>80</v>
      </c>
      <c r="H46" s="54" t="s">
        <v>13</v>
      </c>
    </row>
    <row r="47" spans="1:10" s="334" customFormat="1" ht="17.100000000000001" customHeight="1" x14ac:dyDescent="0.25">
      <c r="A47" s="145">
        <v>1</v>
      </c>
      <c r="B47" s="274" t="s">
        <v>48</v>
      </c>
      <c r="C47" s="63">
        <v>6</v>
      </c>
      <c r="D47" s="278">
        <v>64.099999999999994</v>
      </c>
      <c r="E47" s="217">
        <v>11240</v>
      </c>
      <c r="F47" s="217">
        <f>E47*1800</f>
        <v>20232000</v>
      </c>
      <c r="G47" s="217">
        <v>1506280</v>
      </c>
      <c r="H47" s="217">
        <v>6</v>
      </c>
      <c r="I47" s="334">
        <f t="shared" si="0"/>
        <v>1800</v>
      </c>
      <c r="J47" s="334">
        <v>900</v>
      </c>
    </row>
    <row r="48" spans="1:10" s="334" customFormat="1" ht="17.100000000000001" customHeight="1" x14ac:dyDescent="0.25">
      <c r="A48" s="145">
        <v>2</v>
      </c>
      <c r="B48" s="274" t="s">
        <v>36</v>
      </c>
      <c r="C48" s="63">
        <v>0</v>
      </c>
      <c r="D48" s="278">
        <v>0</v>
      </c>
      <c r="E48" s="217">
        <v>0</v>
      </c>
      <c r="F48" s="217">
        <v>0</v>
      </c>
      <c r="G48" s="217">
        <v>0</v>
      </c>
      <c r="H48" s="217">
        <v>0</v>
      </c>
      <c r="I48" s="334" t="e">
        <f t="shared" si="0"/>
        <v>#DIV/0!</v>
      </c>
      <c r="J48" s="334" t="e">
        <v>#DIV/0!</v>
      </c>
    </row>
    <row r="49" spans="1:10" s="334" customFormat="1" ht="17.100000000000001" customHeight="1" x14ac:dyDescent="0.25">
      <c r="A49" s="145">
        <v>3</v>
      </c>
      <c r="B49" s="274" t="s">
        <v>47</v>
      </c>
      <c r="C49" s="63">
        <v>1</v>
      </c>
      <c r="D49" s="278">
        <v>4.3099999999999996</v>
      </c>
      <c r="E49" s="217">
        <v>0</v>
      </c>
      <c r="F49" s="217">
        <v>0</v>
      </c>
      <c r="G49" s="217">
        <v>67620</v>
      </c>
      <c r="H49" s="217">
        <v>0</v>
      </c>
      <c r="I49" s="334" t="e">
        <f t="shared" si="0"/>
        <v>#DIV/0!</v>
      </c>
      <c r="J49" s="334" t="e">
        <v>#DIV/0!</v>
      </c>
    </row>
    <row r="50" spans="1:10" s="334" customFormat="1" ht="17.100000000000001" customHeight="1" x14ac:dyDescent="0.25">
      <c r="A50" s="145">
        <v>4</v>
      </c>
      <c r="B50" s="274" t="s">
        <v>35</v>
      </c>
      <c r="C50" s="63">
        <v>2</v>
      </c>
      <c r="D50" s="278">
        <v>1304.83</v>
      </c>
      <c r="E50" s="217">
        <v>2882595</v>
      </c>
      <c r="F50" s="217">
        <v>2161946138</v>
      </c>
      <c r="G50" s="217">
        <v>230607588</v>
      </c>
      <c r="H50" s="63">
        <v>118</v>
      </c>
      <c r="I50" s="334">
        <f t="shared" si="0"/>
        <v>749.99996114612009</v>
      </c>
      <c r="J50" s="334">
        <v>750</v>
      </c>
    </row>
    <row r="51" spans="1:10" s="334" customFormat="1" ht="17.100000000000001" customHeight="1" x14ac:dyDescent="0.25">
      <c r="A51" s="1159" t="s">
        <v>158</v>
      </c>
      <c r="B51" s="1161"/>
      <c r="C51" s="300">
        <f t="shared" ref="C51:H51" si="5">SUM(C47:C50)</f>
        <v>9</v>
      </c>
      <c r="D51" s="485">
        <f t="shared" si="5"/>
        <v>1373.24</v>
      </c>
      <c r="E51" s="481">
        <f t="shared" si="5"/>
        <v>2893835</v>
      </c>
      <c r="F51" s="481">
        <f t="shared" si="5"/>
        <v>2182178138</v>
      </c>
      <c r="G51" s="481">
        <f t="shared" si="5"/>
        <v>232181488</v>
      </c>
      <c r="H51" s="481">
        <f t="shared" si="5"/>
        <v>124</v>
      </c>
    </row>
    <row r="52" spans="1:10" s="334" customFormat="1" ht="17.100000000000001" customHeight="1" x14ac:dyDescent="0.25">
      <c r="A52" s="482"/>
      <c r="B52" s="486"/>
      <c r="C52" s="427"/>
      <c r="D52" s="425"/>
      <c r="E52" s="346"/>
      <c r="F52" s="346"/>
      <c r="G52" s="346"/>
      <c r="H52" s="344"/>
    </row>
    <row r="53" spans="1:10" s="334" customFormat="1" ht="17.100000000000001" customHeight="1" x14ac:dyDescent="0.25">
      <c r="A53" s="1163" t="s">
        <v>81</v>
      </c>
      <c r="B53" s="1163"/>
      <c r="C53" s="1163"/>
      <c r="D53" s="1163"/>
      <c r="E53" s="1163"/>
      <c r="F53" s="1163"/>
      <c r="G53" s="1163"/>
      <c r="H53" s="1163"/>
    </row>
    <row r="54" spans="1:10" s="334" customFormat="1" ht="17.100000000000001" customHeight="1" x14ac:dyDescent="0.25">
      <c r="A54" s="1165" t="s">
        <v>2</v>
      </c>
      <c r="B54" s="1166" t="s">
        <v>3</v>
      </c>
      <c r="C54" s="1166" t="s">
        <v>4</v>
      </c>
      <c r="D54" s="48" t="s">
        <v>5</v>
      </c>
      <c r="E54" s="49" t="s">
        <v>6</v>
      </c>
      <c r="F54" s="50" t="s">
        <v>7</v>
      </c>
      <c r="G54" s="50" t="s">
        <v>8</v>
      </c>
      <c r="H54" s="50" t="s">
        <v>9</v>
      </c>
    </row>
    <row r="55" spans="1:10" s="334" customFormat="1" ht="17.100000000000001" customHeight="1" x14ac:dyDescent="0.25">
      <c r="A55" s="1165"/>
      <c r="B55" s="1167"/>
      <c r="C55" s="1167"/>
      <c r="D55" s="51" t="s">
        <v>78</v>
      </c>
      <c r="E55" s="52" t="s">
        <v>657</v>
      </c>
      <c r="F55" s="52" t="s">
        <v>80</v>
      </c>
      <c r="G55" s="52" t="s">
        <v>80</v>
      </c>
      <c r="H55" s="54" t="s">
        <v>13</v>
      </c>
    </row>
    <row r="56" spans="1:10" s="334" customFormat="1" ht="17.100000000000001" customHeight="1" x14ac:dyDescent="0.2">
      <c r="A56" s="674">
        <v>1</v>
      </c>
      <c r="B56" s="675" t="s">
        <v>465</v>
      </c>
      <c r="C56" s="1023">
        <v>0</v>
      </c>
      <c r="D56" s="1023">
        <v>0</v>
      </c>
      <c r="E56" s="1023"/>
      <c r="F56" s="1023"/>
      <c r="G56" s="1023"/>
      <c r="H56" s="1023"/>
    </row>
    <row r="57" spans="1:10" s="334" customFormat="1" ht="17.100000000000001" customHeight="1" x14ac:dyDescent="0.2">
      <c r="A57" s="63">
        <v>2</v>
      </c>
      <c r="B57" s="274" t="s">
        <v>33</v>
      </c>
      <c r="C57" s="944">
        <v>3</v>
      </c>
      <c r="D57" s="1024">
        <v>154</v>
      </c>
      <c r="E57" s="1027">
        <v>0</v>
      </c>
      <c r="F57" s="1027">
        <v>0</v>
      </c>
      <c r="G57" s="1027">
        <v>0</v>
      </c>
      <c r="H57" s="944">
        <v>0</v>
      </c>
    </row>
    <row r="58" spans="1:10" s="334" customFormat="1" ht="17.100000000000001" customHeight="1" x14ac:dyDescent="0.2">
      <c r="A58" s="674">
        <v>3</v>
      </c>
      <c r="B58" s="274" t="s">
        <v>381</v>
      </c>
      <c r="C58" s="944">
        <v>1</v>
      </c>
      <c r="D58" s="1024">
        <v>1200</v>
      </c>
      <c r="E58" s="1025">
        <v>1207479</v>
      </c>
      <c r="F58" s="1027">
        <f>E58*20000</f>
        <v>24149580000</v>
      </c>
      <c r="G58" s="1027">
        <v>12385092400</v>
      </c>
      <c r="H58" s="1027">
        <v>3600</v>
      </c>
      <c r="I58" s="334">
        <f t="shared" si="0"/>
        <v>20000</v>
      </c>
      <c r="J58" s="334">
        <v>16500</v>
      </c>
    </row>
    <row r="59" spans="1:10" s="334" customFormat="1" ht="17.100000000000001" customHeight="1" x14ac:dyDescent="0.2">
      <c r="A59" s="63">
        <v>4</v>
      </c>
      <c r="B59" s="273" t="s">
        <v>453</v>
      </c>
      <c r="C59" s="944">
        <v>0</v>
      </c>
      <c r="D59" s="944">
        <v>0</v>
      </c>
      <c r="E59" s="944">
        <v>0</v>
      </c>
      <c r="F59" s="944">
        <v>0</v>
      </c>
      <c r="G59" s="944">
        <v>0</v>
      </c>
      <c r="H59" s="944">
        <v>0</v>
      </c>
    </row>
    <row r="60" spans="1:10" s="334" customFormat="1" ht="17.100000000000001" customHeight="1" x14ac:dyDescent="0.2">
      <c r="A60" s="674">
        <v>5</v>
      </c>
      <c r="B60" s="273" t="s">
        <v>452</v>
      </c>
      <c r="C60" s="944">
        <v>0</v>
      </c>
      <c r="D60" s="944">
        <v>0</v>
      </c>
      <c r="E60" s="944">
        <v>0</v>
      </c>
      <c r="F60" s="944">
        <v>0</v>
      </c>
      <c r="G60" s="944">
        <v>0</v>
      </c>
      <c r="H60" s="944">
        <v>0</v>
      </c>
    </row>
    <row r="61" spans="1:10" s="334" customFormat="1" ht="17.100000000000001" customHeight="1" x14ac:dyDescent="0.2">
      <c r="A61" s="63">
        <v>6</v>
      </c>
      <c r="B61" s="274" t="s">
        <v>20</v>
      </c>
      <c r="C61" s="944">
        <v>0</v>
      </c>
      <c r="D61" s="944">
        <v>0</v>
      </c>
      <c r="E61" s="944">
        <v>0</v>
      </c>
      <c r="F61" s="944">
        <v>0</v>
      </c>
      <c r="G61" s="944">
        <v>0</v>
      </c>
      <c r="H61" s="944">
        <v>0</v>
      </c>
    </row>
    <row r="62" spans="1:10" s="334" customFormat="1" ht="17.100000000000001" customHeight="1" x14ac:dyDescent="0.2">
      <c r="A62" s="674">
        <v>7</v>
      </c>
      <c r="B62" s="274" t="s">
        <v>15</v>
      </c>
      <c r="C62" s="944">
        <v>0</v>
      </c>
      <c r="D62" s="944">
        <v>0</v>
      </c>
      <c r="E62" s="944">
        <v>0</v>
      </c>
      <c r="F62" s="944">
        <v>0</v>
      </c>
      <c r="G62" s="944">
        <v>0</v>
      </c>
      <c r="H62" s="944">
        <v>0</v>
      </c>
    </row>
    <row r="63" spans="1:10" s="334" customFormat="1" ht="17.100000000000001" customHeight="1" x14ac:dyDescent="0.2">
      <c r="A63" s="63">
        <v>8</v>
      </c>
      <c r="B63" s="274" t="s">
        <v>30</v>
      </c>
      <c r="C63" s="944">
        <v>5</v>
      </c>
      <c r="D63" s="944">
        <v>20.736999999999998</v>
      </c>
      <c r="E63" s="944">
        <v>17104</v>
      </c>
      <c r="F63" s="944">
        <v>71838522</v>
      </c>
      <c r="G63" s="944">
        <v>2703770</v>
      </c>
      <c r="H63" s="944">
        <v>40</v>
      </c>
      <c r="I63" s="334">
        <f t="shared" si="0"/>
        <v>4200.1006782039285</v>
      </c>
      <c r="J63" s="334">
        <v>6400</v>
      </c>
    </row>
    <row r="64" spans="1:10" s="334" customFormat="1" ht="17.100000000000001" customHeight="1" x14ac:dyDescent="0.2">
      <c r="A64" s="674">
        <v>9</v>
      </c>
      <c r="B64" s="274" t="s">
        <v>17</v>
      </c>
      <c r="C64" s="944">
        <v>2</v>
      </c>
      <c r="D64" s="1024">
        <v>1989.885</v>
      </c>
      <c r="E64" s="1027">
        <v>3343749</v>
      </c>
      <c r="F64" s="1027">
        <v>15715624013</v>
      </c>
      <c r="G64" s="1027">
        <v>1020000000</v>
      </c>
      <c r="H64" s="944">
        <v>1100</v>
      </c>
      <c r="I64" s="334">
        <f t="shared" si="0"/>
        <v>4700.0011104302384</v>
      </c>
      <c r="J64" s="334">
        <v>4650</v>
      </c>
    </row>
    <row r="65" spans="1:10" s="334" customFormat="1" ht="17.100000000000001" customHeight="1" x14ac:dyDescent="0.25">
      <c r="A65" s="1159" t="s">
        <v>158</v>
      </c>
      <c r="B65" s="1161"/>
      <c r="C65" s="484">
        <f>SUM(C56:C64)</f>
        <v>11</v>
      </c>
      <c r="D65" s="484">
        <f t="shared" ref="D65:H65" si="6">SUM(D56:D64)</f>
        <v>3364.6220000000003</v>
      </c>
      <c r="E65" s="484">
        <f t="shared" si="6"/>
        <v>4568332</v>
      </c>
      <c r="F65" s="484">
        <f t="shared" si="6"/>
        <v>39937042535</v>
      </c>
      <c r="G65" s="484">
        <f t="shared" si="6"/>
        <v>13407796170</v>
      </c>
      <c r="H65" s="484">
        <f t="shared" si="6"/>
        <v>4740</v>
      </c>
    </row>
    <row r="66" spans="1:10" s="334" customFormat="1" ht="17.100000000000001" customHeight="1" x14ac:dyDescent="0.25">
      <c r="A66" s="482"/>
      <c r="B66" s="431"/>
      <c r="C66" s="349"/>
      <c r="D66" s="483"/>
      <c r="E66" s="351"/>
      <c r="F66" s="351"/>
      <c r="G66" s="351"/>
      <c r="H66" s="21"/>
    </row>
    <row r="67" spans="1:10" s="334" customFormat="1" ht="17.100000000000001" customHeight="1" x14ac:dyDescent="0.25">
      <c r="A67" s="1163" t="s">
        <v>96</v>
      </c>
      <c r="B67" s="1163"/>
      <c r="C67" s="1163"/>
      <c r="D67" s="1163"/>
      <c r="E67" s="1163"/>
      <c r="F67" s="1163"/>
      <c r="G67" s="1163"/>
      <c r="H67" s="1163"/>
    </row>
    <row r="68" spans="1:10" s="334" customFormat="1" ht="17.100000000000001" customHeight="1" x14ac:dyDescent="0.25">
      <c r="A68" s="1165" t="s">
        <v>2</v>
      </c>
      <c r="B68" s="1166" t="s">
        <v>3</v>
      </c>
      <c r="C68" s="1166" t="s">
        <v>4</v>
      </c>
      <c r="D68" s="48" t="s">
        <v>5</v>
      </c>
      <c r="E68" s="49" t="s">
        <v>6</v>
      </c>
      <c r="F68" s="50" t="s">
        <v>7</v>
      </c>
      <c r="G68" s="50" t="s">
        <v>8</v>
      </c>
      <c r="H68" s="50" t="s">
        <v>9</v>
      </c>
    </row>
    <row r="69" spans="1:10" s="334" customFormat="1" ht="17.100000000000001" customHeight="1" x14ac:dyDescent="0.25">
      <c r="A69" s="1165"/>
      <c r="B69" s="1167"/>
      <c r="C69" s="1167"/>
      <c r="D69" s="51" t="s">
        <v>78</v>
      </c>
      <c r="E69" s="52" t="s">
        <v>657</v>
      </c>
      <c r="F69" s="52" t="s">
        <v>80</v>
      </c>
      <c r="G69" s="52" t="s">
        <v>80</v>
      </c>
      <c r="H69" s="54" t="s">
        <v>13</v>
      </c>
    </row>
    <row r="70" spans="1:10" s="334" customFormat="1" ht="17.100000000000001" customHeight="1" x14ac:dyDescent="0.25">
      <c r="A70" s="63">
        <v>1</v>
      </c>
      <c r="B70" s="274" t="s">
        <v>43</v>
      </c>
      <c r="C70" s="143">
        <v>1</v>
      </c>
      <c r="D70" s="275">
        <v>145</v>
      </c>
      <c r="E70" s="216">
        <v>8900</v>
      </c>
      <c r="F70" s="216">
        <v>16012000</v>
      </c>
      <c r="G70" s="216">
        <v>1595000</v>
      </c>
      <c r="H70" s="143"/>
    </row>
    <row r="71" spans="1:10" s="334" customFormat="1" ht="17.100000000000001" customHeight="1" x14ac:dyDescent="0.25">
      <c r="A71" s="63">
        <v>2</v>
      </c>
      <c r="B71" s="274" t="s">
        <v>34</v>
      </c>
      <c r="C71" s="143">
        <v>2</v>
      </c>
      <c r="D71" s="275">
        <v>2212.25</v>
      </c>
      <c r="E71" s="216">
        <v>3015422</v>
      </c>
      <c r="F71" s="216">
        <v>6030844060</v>
      </c>
      <c r="G71" s="216">
        <v>410131221</v>
      </c>
      <c r="H71" s="143">
        <v>230</v>
      </c>
      <c r="I71" s="334">
        <f t="shared" si="0"/>
        <v>2000.0000198977125</v>
      </c>
      <c r="J71" s="334">
        <v>2000</v>
      </c>
    </row>
    <row r="72" spans="1:10" s="334" customFormat="1" ht="17.100000000000001" customHeight="1" x14ac:dyDescent="0.25">
      <c r="A72" s="1159" t="s">
        <v>158</v>
      </c>
      <c r="B72" s="1161"/>
      <c r="C72" s="484">
        <f t="shared" ref="C72:H72" si="7">SUM(C70:C71)</f>
        <v>3</v>
      </c>
      <c r="D72" s="485">
        <f t="shared" si="7"/>
        <v>2357.25</v>
      </c>
      <c r="E72" s="481">
        <f>SUM(E70:E71)</f>
        <v>3024322</v>
      </c>
      <c r="F72" s="481">
        <f>SUM(F70:F71)</f>
        <v>6046856060</v>
      </c>
      <c r="G72" s="481">
        <f>SUM(G70:G71)</f>
        <v>411726221</v>
      </c>
      <c r="H72" s="484">
        <f t="shared" si="7"/>
        <v>230</v>
      </c>
      <c r="I72" s="334">
        <f t="shared" ref="I72:I125" si="8">F72/E72</f>
        <v>1999.4088129504728</v>
      </c>
    </row>
    <row r="73" spans="1:10" s="334" customFormat="1" ht="17.100000000000001" customHeight="1" x14ac:dyDescent="0.25">
      <c r="A73" s="482"/>
      <c r="B73" s="431"/>
      <c r="C73" s="349"/>
      <c r="D73" s="483"/>
      <c r="E73" s="351"/>
      <c r="F73" s="351"/>
      <c r="G73" s="351"/>
      <c r="H73" s="21"/>
    </row>
    <row r="74" spans="1:10" s="334" customFormat="1" ht="17.100000000000001" customHeight="1" x14ac:dyDescent="0.25">
      <c r="A74" s="1163" t="s">
        <v>104</v>
      </c>
      <c r="B74" s="1163"/>
      <c r="C74" s="1163"/>
      <c r="D74" s="1163"/>
      <c r="E74" s="1163"/>
      <c r="F74" s="1163"/>
      <c r="G74" s="1163"/>
      <c r="H74" s="1163"/>
    </row>
    <row r="75" spans="1:10" s="334" customFormat="1" ht="17.100000000000001" customHeight="1" x14ac:dyDescent="0.25">
      <c r="A75" s="1170" t="s">
        <v>2</v>
      </c>
      <c r="B75" s="1166" t="s">
        <v>3</v>
      </c>
      <c r="C75" s="1166" t="s">
        <v>4</v>
      </c>
      <c r="D75" s="58" t="s">
        <v>5</v>
      </c>
      <c r="E75" s="59" t="s">
        <v>6</v>
      </c>
      <c r="F75" s="750" t="s">
        <v>7</v>
      </c>
      <c r="G75" s="750" t="s">
        <v>8</v>
      </c>
      <c r="H75" s="750" t="s">
        <v>9</v>
      </c>
    </row>
    <row r="76" spans="1:10" s="334" customFormat="1" ht="17.100000000000001" customHeight="1" x14ac:dyDescent="0.25">
      <c r="A76" s="1170"/>
      <c r="B76" s="1167"/>
      <c r="C76" s="1167"/>
      <c r="D76" s="60" t="s">
        <v>78</v>
      </c>
      <c r="E76" s="52" t="s">
        <v>657</v>
      </c>
      <c r="F76" s="52" t="s">
        <v>80</v>
      </c>
      <c r="G76" s="52" t="s">
        <v>80</v>
      </c>
      <c r="H76" s="2" t="s">
        <v>13</v>
      </c>
    </row>
    <row r="77" spans="1:10" s="334" customFormat="1" ht="17.100000000000001" customHeight="1" x14ac:dyDescent="0.25">
      <c r="A77" s="166">
        <v>1</v>
      </c>
      <c r="B77" s="16" t="s">
        <v>35</v>
      </c>
      <c r="C77" s="1046">
        <v>2</v>
      </c>
      <c r="D77" s="1046">
        <v>1359.492</v>
      </c>
      <c r="E77" s="1046">
        <v>13230123</v>
      </c>
      <c r="F77" s="1046">
        <f>E77*725</f>
        <v>9591839175</v>
      </c>
      <c r="G77" s="1046">
        <v>1081756030</v>
      </c>
      <c r="H77" s="1046">
        <v>517</v>
      </c>
      <c r="I77" s="334">
        <f t="shared" si="8"/>
        <v>725</v>
      </c>
      <c r="J77" s="334">
        <v>875</v>
      </c>
    </row>
    <row r="78" spans="1:10" s="334" customFormat="1" ht="17.100000000000001" customHeight="1" x14ac:dyDescent="0.25">
      <c r="A78" s="1159" t="s">
        <v>158</v>
      </c>
      <c r="B78" s="1161"/>
      <c r="C78" s="487">
        <f>SUM(C77)</f>
        <v>2</v>
      </c>
      <c r="D78" s="488">
        <f t="shared" ref="D78:H78" si="9">SUM(D77:D77)</f>
        <v>1359.492</v>
      </c>
      <c r="E78" s="487">
        <f>SUM(E77:E77)</f>
        <v>13230123</v>
      </c>
      <c r="F78" s="487">
        <f>SUM(F77:F77)</f>
        <v>9591839175</v>
      </c>
      <c r="G78" s="487">
        <f>SUM(G77:G77)</f>
        <v>1081756030</v>
      </c>
      <c r="H78" s="487">
        <f t="shared" si="9"/>
        <v>517</v>
      </c>
      <c r="I78" s="334">
        <f t="shared" si="8"/>
        <v>725</v>
      </c>
    </row>
    <row r="79" spans="1:10" s="334" customFormat="1" ht="17.100000000000001" customHeight="1" x14ac:dyDescent="0.25">
      <c r="A79" s="482"/>
      <c r="B79" s="349"/>
      <c r="C79" s="344"/>
      <c r="D79" s="425"/>
      <c r="E79" s="346"/>
      <c r="F79" s="346"/>
      <c r="G79" s="346"/>
      <c r="H79" s="344"/>
    </row>
    <row r="80" spans="1:10" s="334" customFormat="1" ht="17.100000000000001" customHeight="1" x14ac:dyDescent="0.25">
      <c r="A80" s="1163" t="s">
        <v>110</v>
      </c>
      <c r="B80" s="1163"/>
      <c r="C80" s="1163"/>
      <c r="D80" s="1163"/>
      <c r="E80" s="1163"/>
      <c r="F80" s="1163"/>
      <c r="G80" s="1163"/>
      <c r="H80" s="1163"/>
    </row>
    <row r="81" spans="1:10" s="334" customFormat="1" ht="17.100000000000001" customHeight="1" x14ac:dyDescent="0.25">
      <c r="A81" s="1165" t="s">
        <v>2</v>
      </c>
      <c r="B81" s="1166" t="s">
        <v>3</v>
      </c>
      <c r="C81" s="1166" t="s">
        <v>4</v>
      </c>
      <c r="D81" s="48" t="s">
        <v>5</v>
      </c>
      <c r="E81" s="49" t="s">
        <v>6</v>
      </c>
      <c r="F81" s="50" t="s">
        <v>7</v>
      </c>
      <c r="G81" s="50" t="s">
        <v>8</v>
      </c>
      <c r="H81" s="50" t="s">
        <v>9</v>
      </c>
    </row>
    <row r="82" spans="1:10" s="334" customFormat="1" ht="17.100000000000001" customHeight="1" x14ac:dyDescent="0.25">
      <c r="A82" s="1165"/>
      <c r="B82" s="1167"/>
      <c r="C82" s="1167"/>
      <c r="D82" s="51" t="s">
        <v>78</v>
      </c>
      <c r="E82" s="52" t="s">
        <v>657</v>
      </c>
      <c r="F82" s="52" t="s">
        <v>80</v>
      </c>
      <c r="G82" s="52" t="s">
        <v>80</v>
      </c>
      <c r="H82" s="54" t="s">
        <v>13</v>
      </c>
    </row>
    <row r="83" spans="1:10" s="334" customFormat="1" ht="17.100000000000001" customHeight="1" x14ac:dyDescent="0.25">
      <c r="A83" s="613">
        <v>1</v>
      </c>
      <c r="B83" s="274" t="s">
        <v>47</v>
      </c>
      <c r="C83" s="615">
        <v>1</v>
      </c>
      <c r="D83" s="616">
        <v>5</v>
      </c>
      <c r="E83" s="617">
        <v>0</v>
      </c>
      <c r="F83" s="618">
        <v>0</v>
      </c>
      <c r="G83" s="615">
        <v>0</v>
      </c>
      <c r="H83" s="615">
        <v>0</v>
      </c>
    </row>
    <row r="84" spans="1:10" s="334" customFormat="1" ht="17.100000000000001" customHeight="1" x14ac:dyDescent="0.25">
      <c r="A84" s="1162" t="s">
        <v>158</v>
      </c>
      <c r="B84" s="1160"/>
      <c r="C84" s="247">
        <f t="shared" ref="C84:H84" si="10">SUM(C83:C83)</f>
        <v>1</v>
      </c>
      <c r="D84" s="247">
        <f t="shared" si="10"/>
        <v>5</v>
      </c>
      <c r="E84" s="247">
        <f t="shared" si="10"/>
        <v>0</v>
      </c>
      <c r="F84" s="247">
        <f t="shared" si="10"/>
        <v>0</v>
      </c>
      <c r="G84" s="247">
        <f t="shared" si="10"/>
        <v>0</v>
      </c>
      <c r="H84" s="247">
        <f t="shared" si="10"/>
        <v>0</v>
      </c>
    </row>
    <row r="85" spans="1:10" s="334" customFormat="1" ht="17.100000000000001" customHeight="1" x14ac:dyDescent="0.25">
      <c r="A85" s="482"/>
      <c r="B85" s="349"/>
      <c r="C85" s="344"/>
      <c r="D85" s="425"/>
      <c r="E85" s="346"/>
      <c r="F85" s="346"/>
      <c r="G85" s="346"/>
      <c r="H85" s="344"/>
    </row>
    <row r="86" spans="1:10" s="334" customFormat="1" ht="17.100000000000001" customHeight="1" x14ac:dyDescent="0.25">
      <c r="A86" s="1163" t="s">
        <v>153</v>
      </c>
      <c r="B86" s="1163"/>
      <c r="C86" s="1163"/>
      <c r="D86" s="1163"/>
      <c r="E86" s="1163"/>
      <c r="F86" s="1163"/>
      <c r="G86" s="1163"/>
      <c r="H86" s="1163"/>
    </row>
    <row r="87" spans="1:10" s="334" customFormat="1" ht="17.100000000000001" customHeight="1" x14ac:dyDescent="0.25">
      <c r="A87" s="1165" t="s">
        <v>2</v>
      </c>
      <c r="B87" s="1166" t="s">
        <v>3</v>
      </c>
      <c r="C87" s="1166" t="s">
        <v>4</v>
      </c>
      <c r="D87" s="48" t="s">
        <v>5</v>
      </c>
      <c r="E87" s="49" t="s">
        <v>6</v>
      </c>
      <c r="F87" s="50" t="s">
        <v>7</v>
      </c>
      <c r="G87" s="50" t="s">
        <v>8</v>
      </c>
      <c r="H87" s="50" t="s">
        <v>9</v>
      </c>
    </row>
    <row r="88" spans="1:10" s="334" customFormat="1" ht="17.100000000000001" customHeight="1" x14ac:dyDescent="0.25">
      <c r="A88" s="1165"/>
      <c r="B88" s="1167"/>
      <c r="C88" s="1169"/>
      <c r="D88" s="55" t="s">
        <v>78</v>
      </c>
      <c r="E88" s="52" t="s">
        <v>657</v>
      </c>
      <c r="F88" s="52" t="s">
        <v>80</v>
      </c>
      <c r="G88" s="52" t="s">
        <v>80</v>
      </c>
      <c r="H88" s="53" t="s">
        <v>13</v>
      </c>
    </row>
    <row r="89" spans="1:10" s="334" customFormat="1" ht="17.100000000000001" customHeight="1" x14ac:dyDescent="0.25">
      <c r="A89" s="63">
        <v>1</v>
      </c>
      <c r="B89" s="273" t="s">
        <v>29</v>
      </c>
      <c r="C89" s="204">
        <v>1</v>
      </c>
      <c r="D89" s="282">
        <v>5</v>
      </c>
      <c r="E89" s="283">
        <v>0</v>
      </c>
      <c r="F89" s="284">
        <v>0</v>
      </c>
      <c r="G89" s="204">
        <v>30767</v>
      </c>
      <c r="H89" s="284">
        <v>0</v>
      </c>
    </row>
    <row r="90" spans="1:10" s="334" customFormat="1" ht="17.100000000000001" customHeight="1" x14ac:dyDescent="0.25">
      <c r="A90" s="1159" t="s">
        <v>158</v>
      </c>
      <c r="B90" s="1161"/>
      <c r="C90" s="484">
        <f t="shared" ref="C90:H90" si="11">SUM(C89:C89)</f>
        <v>1</v>
      </c>
      <c r="D90" s="485">
        <f t="shared" si="11"/>
        <v>5</v>
      </c>
      <c r="E90" s="481">
        <f t="shared" si="11"/>
        <v>0</v>
      </c>
      <c r="F90" s="481">
        <f t="shared" si="11"/>
        <v>0</v>
      </c>
      <c r="G90" s="481">
        <f t="shared" si="11"/>
        <v>30767</v>
      </c>
      <c r="H90" s="484">
        <f t="shared" si="11"/>
        <v>0</v>
      </c>
    </row>
    <row r="91" spans="1:10" s="334" customFormat="1" ht="17.100000000000001" customHeight="1" x14ac:dyDescent="0.25">
      <c r="A91" s="482"/>
      <c r="B91" s="349"/>
      <c r="C91" s="344"/>
      <c r="D91" s="425"/>
      <c r="E91" s="346"/>
      <c r="F91" s="346"/>
      <c r="G91" s="346"/>
      <c r="H91" s="344"/>
    </row>
    <row r="92" spans="1:10" s="334" customFormat="1" ht="17.100000000000001" customHeight="1" x14ac:dyDescent="0.25">
      <c r="A92" s="1163" t="s">
        <v>105</v>
      </c>
      <c r="B92" s="1163"/>
      <c r="C92" s="1163"/>
      <c r="D92" s="1163"/>
      <c r="E92" s="1163"/>
      <c r="F92" s="1163"/>
      <c r="G92" s="1163"/>
      <c r="H92" s="1163"/>
    </row>
    <row r="93" spans="1:10" s="334" customFormat="1" ht="17.100000000000001" customHeight="1" x14ac:dyDescent="0.25">
      <c r="A93" s="1165" t="s">
        <v>2</v>
      </c>
      <c r="B93" s="1166" t="s">
        <v>3</v>
      </c>
      <c r="C93" s="1166" t="s">
        <v>4</v>
      </c>
      <c r="D93" s="48" t="s">
        <v>5</v>
      </c>
      <c r="E93" s="49" t="s">
        <v>6</v>
      </c>
      <c r="F93" s="50" t="s">
        <v>7</v>
      </c>
      <c r="G93" s="50" t="s">
        <v>8</v>
      </c>
      <c r="H93" s="50" t="s">
        <v>9</v>
      </c>
    </row>
    <row r="94" spans="1:10" s="334" customFormat="1" ht="17.100000000000001" customHeight="1" x14ac:dyDescent="0.25">
      <c r="A94" s="1165"/>
      <c r="B94" s="1167"/>
      <c r="C94" s="1167"/>
      <c r="D94" s="51" t="s">
        <v>78</v>
      </c>
      <c r="E94" s="52" t="s">
        <v>657</v>
      </c>
      <c r="F94" s="52" t="s">
        <v>80</v>
      </c>
      <c r="G94" s="52" t="s">
        <v>80</v>
      </c>
      <c r="H94" s="54" t="s">
        <v>13</v>
      </c>
    </row>
    <row r="95" spans="1:10" s="334" customFormat="1" ht="17.100000000000001" customHeight="1" x14ac:dyDescent="0.25">
      <c r="A95" s="63">
        <v>1</v>
      </c>
      <c r="B95" s="274" t="s">
        <v>35</v>
      </c>
      <c r="C95" s="754">
        <v>4</v>
      </c>
      <c r="D95" s="754">
        <v>1233.5</v>
      </c>
      <c r="E95" s="754">
        <v>1107527.6100000001</v>
      </c>
      <c r="F95" s="754">
        <f>E95*800</f>
        <v>886022088.00000012</v>
      </c>
      <c r="G95" s="754">
        <v>88602209</v>
      </c>
      <c r="H95" s="754">
        <v>45</v>
      </c>
      <c r="I95" s="334">
        <f>F95/E95</f>
        <v>800</v>
      </c>
      <c r="J95" s="334">
        <v>875.00000004742799</v>
      </c>
    </row>
    <row r="96" spans="1:10" s="334" customFormat="1" ht="17.100000000000001" customHeight="1" x14ac:dyDescent="0.25">
      <c r="A96" s="1159" t="s">
        <v>158</v>
      </c>
      <c r="B96" s="1161"/>
      <c r="C96" s="484">
        <f t="shared" ref="C96:H96" si="12">SUM(C95:C95)</f>
        <v>4</v>
      </c>
      <c r="D96" s="485">
        <f t="shared" si="12"/>
        <v>1233.5</v>
      </c>
      <c r="E96" s="481">
        <f t="shared" si="12"/>
        <v>1107527.6100000001</v>
      </c>
      <c r="F96" s="481" t="s">
        <v>7</v>
      </c>
      <c r="G96" s="481">
        <f t="shared" si="12"/>
        <v>88602209</v>
      </c>
      <c r="H96" s="481">
        <f t="shared" si="12"/>
        <v>45</v>
      </c>
      <c r="I96" s="334" t="e">
        <f t="shared" si="8"/>
        <v>#VALUE!</v>
      </c>
    </row>
    <row r="97" spans="1:10" s="334" customFormat="1" ht="17.100000000000001" customHeight="1" x14ac:dyDescent="0.25">
      <c r="A97" s="482"/>
      <c r="B97" s="486"/>
      <c r="C97" s="344"/>
      <c r="D97" s="425"/>
      <c r="E97" s="346"/>
      <c r="F97" s="346"/>
      <c r="G97" s="346"/>
      <c r="H97" s="344"/>
    </row>
    <row r="98" spans="1:10" s="334" customFormat="1" ht="17.100000000000001" customHeight="1" x14ac:dyDescent="0.25">
      <c r="A98" s="482"/>
      <c r="B98" s="486"/>
      <c r="C98" s="344"/>
      <c r="D98" s="425"/>
      <c r="E98" s="346"/>
      <c r="F98" s="346"/>
      <c r="G98" s="346"/>
      <c r="H98" s="344"/>
    </row>
    <row r="99" spans="1:10" s="334" customFormat="1" ht="17.100000000000001" customHeight="1" x14ac:dyDescent="0.25">
      <c r="A99" s="1163" t="s">
        <v>87</v>
      </c>
      <c r="B99" s="1163"/>
      <c r="C99" s="1163"/>
      <c r="D99" s="1163"/>
      <c r="E99" s="1163"/>
      <c r="F99" s="1163"/>
      <c r="G99" s="1163"/>
      <c r="H99" s="1163"/>
    </row>
    <row r="100" spans="1:10" s="334" customFormat="1" ht="17.100000000000001" customHeight="1" x14ac:dyDescent="0.25">
      <c r="A100" s="1165" t="s">
        <v>2</v>
      </c>
      <c r="B100" s="1166" t="s">
        <v>3</v>
      </c>
      <c r="C100" s="1166" t="s">
        <v>4</v>
      </c>
      <c r="D100" s="48" t="s">
        <v>5</v>
      </c>
      <c r="E100" s="49" t="s">
        <v>6</v>
      </c>
      <c r="F100" s="50" t="s">
        <v>7</v>
      </c>
      <c r="G100" s="50" t="s">
        <v>8</v>
      </c>
      <c r="H100" s="50" t="s">
        <v>9</v>
      </c>
    </row>
    <row r="101" spans="1:10" s="334" customFormat="1" ht="17.100000000000001" customHeight="1" x14ac:dyDescent="0.25">
      <c r="A101" s="1165"/>
      <c r="B101" s="1167"/>
      <c r="C101" s="1167"/>
      <c r="D101" s="51" t="s">
        <v>78</v>
      </c>
      <c r="E101" s="52" t="s">
        <v>657</v>
      </c>
      <c r="F101" s="52" t="s">
        <v>80</v>
      </c>
      <c r="G101" s="52" t="s">
        <v>80</v>
      </c>
      <c r="H101" s="53" t="s">
        <v>13</v>
      </c>
    </row>
    <row r="102" spans="1:10" s="334" customFormat="1" ht="17.100000000000001" customHeight="1" x14ac:dyDescent="0.25">
      <c r="A102" s="63">
        <v>1</v>
      </c>
      <c r="B102" s="274" t="s">
        <v>17</v>
      </c>
      <c r="C102" s="203">
        <v>2</v>
      </c>
      <c r="D102" s="489">
        <v>134.09</v>
      </c>
      <c r="E102" s="305">
        <v>24006.400000000001</v>
      </c>
      <c r="F102" s="305">
        <v>96424600</v>
      </c>
      <c r="G102" s="385">
        <v>2202581</v>
      </c>
      <c r="H102" s="385">
        <v>25</v>
      </c>
      <c r="I102" s="334">
        <f t="shared" si="8"/>
        <v>4016.6205678485735</v>
      </c>
      <c r="J102" s="334">
        <v>120.19762845849802</v>
      </c>
    </row>
    <row r="103" spans="1:10" s="334" customFormat="1" ht="17.100000000000001" customHeight="1" x14ac:dyDescent="0.25">
      <c r="A103" s="63">
        <v>2</v>
      </c>
      <c r="B103" s="798" t="s">
        <v>35</v>
      </c>
      <c r="C103" s="145">
        <v>0</v>
      </c>
      <c r="D103" s="285">
        <v>0</v>
      </c>
      <c r="E103" s="217">
        <v>0</v>
      </c>
      <c r="F103" s="217">
        <v>0</v>
      </c>
      <c r="G103" s="217">
        <v>0</v>
      </c>
      <c r="H103" s="63">
        <v>0</v>
      </c>
    </row>
    <row r="104" spans="1:10" s="334" customFormat="1" ht="17.100000000000001" customHeight="1" x14ac:dyDescent="0.25">
      <c r="A104" s="63">
        <v>3</v>
      </c>
      <c r="B104" s="274" t="s">
        <v>466</v>
      </c>
      <c r="C104" s="145">
        <v>0</v>
      </c>
      <c r="D104" s="285">
        <v>0</v>
      </c>
      <c r="E104" s="286">
        <v>0</v>
      </c>
      <c r="F104" s="217">
        <v>0</v>
      </c>
      <c r="G104" s="217">
        <v>0</v>
      </c>
      <c r="H104" s="63">
        <v>0</v>
      </c>
    </row>
    <row r="105" spans="1:10" s="334" customFormat="1" ht="17.100000000000001" customHeight="1" x14ac:dyDescent="0.25">
      <c r="A105" s="1159" t="s">
        <v>158</v>
      </c>
      <c r="B105" s="1161"/>
      <c r="C105" s="484">
        <f>SUM(C102:C104)</f>
        <v>2</v>
      </c>
      <c r="D105" s="484">
        <f t="shared" ref="D105:H105" si="13">SUM(D102:D104)</f>
        <v>134.09</v>
      </c>
      <c r="E105" s="484">
        <f t="shared" si="13"/>
        <v>24006.400000000001</v>
      </c>
      <c r="F105" s="484">
        <f t="shared" si="13"/>
        <v>96424600</v>
      </c>
      <c r="G105" s="484">
        <f t="shared" si="13"/>
        <v>2202581</v>
      </c>
      <c r="H105" s="484">
        <f t="shared" si="13"/>
        <v>25</v>
      </c>
    </row>
    <row r="106" spans="1:10" s="334" customFormat="1" ht="17.100000000000001" customHeight="1" x14ac:dyDescent="0.25">
      <c r="A106" s="482"/>
      <c r="B106" s="349"/>
      <c r="C106" s="344"/>
      <c r="D106" s="425"/>
      <c r="E106" s="346"/>
      <c r="F106" s="346"/>
      <c r="G106" s="346"/>
      <c r="H106" s="344"/>
    </row>
    <row r="107" spans="1:10" s="334" customFormat="1" ht="17.100000000000001" customHeight="1" x14ac:dyDescent="0.25">
      <c r="A107" s="1163" t="s">
        <v>154</v>
      </c>
      <c r="B107" s="1163"/>
      <c r="C107" s="1163"/>
      <c r="D107" s="1163"/>
      <c r="E107" s="1163"/>
      <c r="F107" s="1163"/>
      <c r="G107" s="1163"/>
      <c r="H107" s="1163"/>
    </row>
    <row r="108" spans="1:10" s="334" customFormat="1" ht="17.100000000000001" customHeight="1" x14ac:dyDescent="0.25">
      <c r="A108" s="1165" t="s">
        <v>2</v>
      </c>
      <c r="B108" s="1166" t="s">
        <v>3</v>
      </c>
      <c r="C108" s="1166" t="s">
        <v>4</v>
      </c>
      <c r="D108" s="48" t="s">
        <v>5</v>
      </c>
      <c r="E108" s="49" t="s">
        <v>6</v>
      </c>
      <c r="F108" s="50" t="s">
        <v>7</v>
      </c>
      <c r="G108" s="50" t="s">
        <v>8</v>
      </c>
      <c r="H108" s="50" t="s">
        <v>9</v>
      </c>
    </row>
    <row r="109" spans="1:10" s="334" customFormat="1" ht="17.100000000000001" customHeight="1" x14ac:dyDescent="0.25">
      <c r="A109" s="1165"/>
      <c r="B109" s="1167"/>
      <c r="C109" s="1167"/>
      <c r="D109" s="51" t="s">
        <v>78</v>
      </c>
      <c r="E109" s="52" t="s">
        <v>657</v>
      </c>
      <c r="F109" s="52" t="s">
        <v>80</v>
      </c>
      <c r="G109" s="52" t="s">
        <v>80</v>
      </c>
      <c r="H109" s="54" t="s">
        <v>13</v>
      </c>
    </row>
    <row r="110" spans="1:10" s="334" customFormat="1" ht="17.100000000000001" customHeight="1" x14ac:dyDescent="0.25">
      <c r="A110" s="63">
        <v>1</v>
      </c>
      <c r="B110" s="274" t="s">
        <v>166</v>
      </c>
      <c r="C110" s="334">
        <v>4</v>
      </c>
      <c r="D110" s="278">
        <v>2817.52</v>
      </c>
      <c r="E110" s="217">
        <v>3292847</v>
      </c>
      <c r="F110" s="217">
        <f>E110*634</f>
        <v>2087664998</v>
      </c>
      <c r="G110" s="334">
        <v>337687880</v>
      </c>
      <c r="H110" s="63">
        <v>520</v>
      </c>
      <c r="I110" s="334">
        <f t="shared" si="8"/>
        <v>634</v>
      </c>
      <c r="J110" s="334">
        <v>634</v>
      </c>
    </row>
    <row r="111" spans="1:10" s="334" customFormat="1" ht="17.100000000000001" customHeight="1" x14ac:dyDescent="0.25">
      <c r="A111" s="63">
        <v>2</v>
      </c>
      <c r="B111" s="274" t="s">
        <v>167</v>
      </c>
      <c r="C111" s="143">
        <v>9</v>
      </c>
      <c r="D111" s="278">
        <v>85.984999999999999</v>
      </c>
      <c r="E111" s="217">
        <v>11608</v>
      </c>
      <c r="F111" s="217">
        <f>E111*750</f>
        <v>8706000</v>
      </c>
      <c r="G111" s="216">
        <v>1236852</v>
      </c>
      <c r="H111" s="143">
        <v>50</v>
      </c>
      <c r="I111" s="334">
        <f t="shared" si="8"/>
        <v>750</v>
      </c>
      <c r="J111" s="334">
        <v>900</v>
      </c>
    </row>
    <row r="112" spans="1:10" s="334" customFormat="1" ht="17.100000000000001" customHeight="1" x14ac:dyDescent="0.25">
      <c r="A112" s="1159" t="s">
        <v>158</v>
      </c>
      <c r="B112" s="1161"/>
      <c r="C112" s="484">
        <f t="shared" ref="C112:D112" si="14">SUM(C110:C111)</f>
        <v>13</v>
      </c>
      <c r="D112" s="485">
        <f t="shared" si="14"/>
        <v>2903.5050000000001</v>
      </c>
      <c r="E112" s="481">
        <f>SUM(E110:E111)</f>
        <v>3304455</v>
      </c>
      <c r="F112" s="481">
        <f>SUM(F110:F111)</f>
        <v>2096370998</v>
      </c>
      <c r="G112" s="481">
        <f>SUM(G110:G111)</f>
        <v>338924732</v>
      </c>
      <c r="H112" s="484">
        <f>SUM(H110:H111)</f>
        <v>570</v>
      </c>
    </row>
    <row r="113" spans="1:10" s="334" customFormat="1" ht="17.100000000000001" customHeight="1" x14ac:dyDescent="0.25">
      <c r="A113" s="482"/>
      <c r="B113" s="431"/>
      <c r="C113" s="349"/>
      <c r="D113" s="483"/>
      <c r="E113" s="351"/>
      <c r="F113" s="351"/>
      <c r="G113" s="351"/>
      <c r="H113" s="21"/>
    </row>
    <row r="114" spans="1:10" s="334" customFormat="1" ht="17.100000000000001" customHeight="1" x14ac:dyDescent="0.25">
      <c r="A114" s="1163" t="s">
        <v>97</v>
      </c>
      <c r="B114" s="1163"/>
      <c r="C114" s="1163"/>
      <c r="D114" s="1163"/>
      <c r="E114" s="1163"/>
      <c r="F114" s="1163"/>
      <c r="G114" s="1163"/>
      <c r="H114" s="1163"/>
    </row>
    <row r="115" spans="1:10" s="334" customFormat="1" ht="17.100000000000001" customHeight="1" x14ac:dyDescent="0.25">
      <c r="A115" s="1165" t="s">
        <v>2</v>
      </c>
      <c r="B115" s="1166" t="s">
        <v>3</v>
      </c>
      <c r="C115" s="1166" t="s">
        <v>4</v>
      </c>
      <c r="D115" s="48" t="s">
        <v>5</v>
      </c>
      <c r="E115" s="49" t="s">
        <v>6</v>
      </c>
      <c r="F115" s="50" t="s">
        <v>7</v>
      </c>
      <c r="G115" s="50" t="s">
        <v>8</v>
      </c>
      <c r="H115" s="50" t="s">
        <v>9</v>
      </c>
    </row>
    <row r="116" spans="1:10" s="334" customFormat="1" ht="17.100000000000001" customHeight="1" x14ac:dyDescent="0.25">
      <c r="A116" s="1165"/>
      <c r="B116" s="1167"/>
      <c r="C116" s="1167"/>
      <c r="D116" s="51" t="s">
        <v>78</v>
      </c>
      <c r="E116" s="52" t="s">
        <v>657</v>
      </c>
      <c r="F116" s="52" t="s">
        <v>80</v>
      </c>
      <c r="G116" s="52" t="s">
        <v>80</v>
      </c>
      <c r="H116" s="54" t="s">
        <v>13</v>
      </c>
    </row>
    <row r="117" spans="1:10" s="334" customFormat="1" ht="17.100000000000001" customHeight="1" x14ac:dyDescent="0.25">
      <c r="A117" s="63">
        <v>1</v>
      </c>
      <c r="B117" s="274" t="s">
        <v>29</v>
      </c>
      <c r="C117" s="942">
        <v>5</v>
      </c>
      <c r="D117" s="976">
        <v>1075</v>
      </c>
      <c r="E117" s="1030">
        <v>0</v>
      </c>
      <c r="F117" s="1030">
        <v>0</v>
      </c>
      <c r="G117" s="1030">
        <v>0</v>
      </c>
      <c r="H117" s="942">
        <v>0</v>
      </c>
    </row>
    <row r="118" spans="1:10" s="334" customFormat="1" ht="17.100000000000001" customHeight="1" x14ac:dyDescent="0.25">
      <c r="A118" s="1159" t="s">
        <v>158</v>
      </c>
      <c r="B118" s="1161"/>
      <c r="C118" s="50">
        <f t="shared" ref="C118:H118" si="15">SUM(C117:C117)</f>
        <v>5</v>
      </c>
      <c r="D118" s="48">
        <f t="shared" si="15"/>
        <v>1075</v>
      </c>
      <c r="E118" s="49">
        <f t="shared" si="15"/>
        <v>0</v>
      </c>
      <c r="F118" s="49">
        <f t="shared" si="15"/>
        <v>0</v>
      </c>
      <c r="G118" s="49">
        <f t="shared" si="15"/>
        <v>0</v>
      </c>
      <c r="H118" s="50">
        <f t="shared" si="15"/>
        <v>0</v>
      </c>
    </row>
    <row r="119" spans="1:10" s="334" customFormat="1" ht="17.100000000000001" customHeight="1" x14ac:dyDescent="0.25">
      <c r="A119" s="482"/>
      <c r="B119" s="486"/>
      <c r="C119" s="344"/>
      <c r="D119" s="425"/>
      <c r="E119" s="346"/>
      <c r="F119" s="346"/>
      <c r="G119" s="346"/>
      <c r="H119" s="344"/>
    </row>
    <row r="120" spans="1:10" s="334" customFormat="1" ht="17.100000000000001" customHeight="1" x14ac:dyDescent="0.25">
      <c r="A120" s="1164" t="s">
        <v>84</v>
      </c>
      <c r="B120" s="1164"/>
      <c r="C120" s="1164"/>
      <c r="D120" s="1164"/>
      <c r="E120" s="1164"/>
      <c r="F120" s="1164"/>
      <c r="G120" s="1164"/>
      <c r="H120" s="1164"/>
    </row>
    <row r="121" spans="1:10" s="334" customFormat="1" ht="17.100000000000001" customHeight="1" x14ac:dyDescent="0.25">
      <c r="A121" s="1165" t="s">
        <v>2</v>
      </c>
      <c r="B121" s="1166" t="s">
        <v>3</v>
      </c>
      <c r="C121" s="1166" t="s">
        <v>4</v>
      </c>
      <c r="D121" s="48" t="s">
        <v>5</v>
      </c>
      <c r="E121" s="49" t="s">
        <v>6</v>
      </c>
      <c r="F121" s="50" t="s">
        <v>7</v>
      </c>
      <c r="G121" s="50" t="s">
        <v>8</v>
      </c>
      <c r="H121" s="50" t="s">
        <v>9</v>
      </c>
    </row>
    <row r="122" spans="1:10" s="334" customFormat="1" ht="17.100000000000001" customHeight="1" x14ac:dyDescent="0.25">
      <c r="A122" s="1174"/>
      <c r="B122" s="1169"/>
      <c r="C122" s="1169"/>
      <c r="D122" s="55" t="s">
        <v>78</v>
      </c>
      <c r="E122" s="52" t="s">
        <v>657</v>
      </c>
      <c r="F122" s="52" t="s">
        <v>80</v>
      </c>
      <c r="G122" s="52" t="s">
        <v>80</v>
      </c>
      <c r="H122" s="53" t="s">
        <v>13</v>
      </c>
    </row>
    <row r="123" spans="1:10" s="334" customFormat="1" ht="17.100000000000001" customHeight="1" x14ac:dyDescent="0.2">
      <c r="A123" s="166">
        <v>1</v>
      </c>
      <c r="B123" s="166" t="s">
        <v>16</v>
      </c>
      <c r="C123" s="1028">
        <v>3</v>
      </c>
      <c r="D123" s="1028">
        <v>706.75</v>
      </c>
      <c r="E123" s="1028">
        <v>867904</v>
      </c>
      <c r="F123" s="1028">
        <f>E123*2850</f>
        <v>2473526400</v>
      </c>
      <c r="G123" s="1028">
        <v>469878000</v>
      </c>
      <c r="H123" s="1028">
        <v>1760</v>
      </c>
      <c r="I123" s="334">
        <f t="shared" si="8"/>
        <v>2850</v>
      </c>
      <c r="J123" s="334">
        <v>249.99995901569832</v>
      </c>
    </row>
    <row r="124" spans="1:10" s="334" customFormat="1" ht="17.100000000000001" customHeight="1" x14ac:dyDescent="0.2">
      <c r="A124" s="166">
        <v>2</v>
      </c>
      <c r="B124" s="166" t="s">
        <v>35</v>
      </c>
      <c r="C124" s="1028">
        <v>1</v>
      </c>
      <c r="D124" s="1028">
        <v>624</v>
      </c>
      <c r="E124" s="1028">
        <v>1064395</v>
      </c>
      <c r="F124" s="1028">
        <f>E124*800</f>
        <v>851516000</v>
      </c>
      <c r="G124" s="1028">
        <v>100606000</v>
      </c>
      <c r="H124" s="1028">
        <v>60</v>
      </c>
      <c r="I124" s="334">
        <f t="shared" si="8"/>
        <v>800</v>
      </c>
      <c r="J124" s="334">
        <v>850</v>
      </c>
    </row>
    <row r="125" spans="1:10" s="334" customFormat="1" ht="17.100000000000001" customHeight="1" x14ac:dyDescent="0.2">
      <c r="A125" s="166">
        <v>3</v>
      </c>
      <c r="B125" s="166" t="s">
        <v>85</v>
      </c>
      <c r="C125" s="1028">
        <v>6</v>
      </c>
      <c r="D125" s="1028">
        <v>86.47</v>
      </c>
      <c r="E125" s="1028">
        <v>136718</v>
      </c>
      <c r="F125" s="1028">
        <f>E125*4385</f>
        <v>599508430</v>
      </c>
      <c r="G125" s="1028">
        <v>12235000</v>
      </c>
      <c r="H125" s="1028">
        <v>18</v>
      </c>
      <c r="I125" s="334">
        <f t="shared" si="8"/>
        <v>4385</v>
      </c>
      <c r="J125" s="334">
        <v>4385</v>
      </c>
    </row>
    <row r="126" spans="1:10" s="334" customFormat="1" ht="17.100000000000001" customHeight="1" x14ac:dyDescent="0.25">
      <c r="A126" s="1159" t="s">
        <v>158</v>
      </c>
      <c r="B126" s="1161"/>
      <c r="C126" s="1016">
        <f t="shared" ref="C126:H126" si="16">SUM(C123:C125)</f>
        <v>10</v>
      </c>
      <c r="D126" s="1018">
        <f t="shared" si="16"/>
        <v>1417.22</v>
      </c>
      <c r="E126" s="1019">
        <f>SUM(E123:E125)</f>
        <v>2069017</v>
      </c>
      <c r="F126" s="1019">
        <f>SUM(F123:F125)</f>
        <v>3924550830</v>
      </c>
      <c r="G126" s="1019">
        <f>SUM(G123:G125)</f>
        <v>582719000</v>
      </c>
      <c r="H126" s="1016">
        <f t="shared" si="16"/>
        <v>1838</v>
      </c>
    </row>
    <row r="127" spans="1:10" s="334" customFormat="1" ht="17.100000000000001" customHeight="1" x14ac:dyDescent="0.25">
      <c r="A127" s="482"/>
      <c r="B127" s="431"/>
      <c r="C127" s="349"/>
      <c r="D127" s="483"/>
      <c r="E127" s="351"/>
      <c r="F127" s="351"/>
      <c r="G127" s="351"/>
      <c r="H127" s="21"/>
    </row>
    <row r="128" spans="1:10" s="334" customFormat="1" ht="17.100000000000001" customHeight="1" x14ac:dyDescent="0.25">
      <c r="A128" s="1164" t="s">
        <v>118</v>
      </c>
      <c r="B128" s="1164"/>
      <c r="C128" s="1164"/>
      <c r="D128" s="1164"/>
      <c r="E128" s="1164"/>
      <c r="F128" s="1164"/>
      <c r="G128" s="1164"/>
      <c r="H128" s="1164"/>
    </row>
    <row r="129" spans="1:10" s="334" customFormat="1" ht="17.100000000000001" customHeight="1" x14ac:dyDescent="0.25">
      <c r="A129" s="1165" t="s">
        <v>2</v>
      </c>
      <c r="B129" s="1166" t="s">
        <v>3</v>
      </c>
      <c r="C129" s="1166" t="s">
        <v>4</v>
      </c>
      <c r="D129" s="48" t="s">
        <v>5</v>
      </c>
      <c r="E129" s="49" t="s">
        <v>6</v>
      </c>
      <c r="F129" s="50" t="s">
        <v>7</v>
      </c>
      <c r="G129" s="50" t="s">
        <v>8</v>
      </c>
      <c r="H129" s="50" t="s">
        <v>9</v>
      </c>
    </row>
    <row r="130" spans="1:10" s="334" customFormat="1" ht="17.100000000000001" customHeight="1" x14ac:dyDescent="0.25">
      <c r="A130" s="1174"/>
      <c r="B130" s="1169"/>
      <c r="C130" s="1169"/>
      <c r="D130" s="55" t="s">
        <v>78</v>
      </c>
      <c r="E130" s="52" t="s">
        <v>657</v>
      </c>
      <c r="F130" s="52" t="s">
        <v>80</v>
      </c>
      <c r="G130" s="52" t="s">
        <v>80</v>
      </c>
      <c r="H130" s="53" t="s">
        <v>13</v>
      </c>
    </row>
    <row r="131" spans="1:10" s="334" customFormat="1" ht="17.100000000000001" customHeight="1" x14ac:dyDescent="0.25">
      <c r="A131" s="166">
        <v>1</v>
      </c>
      <c r="B131" s="166" t="s">
        <v>619</v>
      </c>
      <c r="C131" s="213">
        <v>1</v>
      </c>
      <c r="D131" s="213">
        <v>195.7064</v>
      </c>
      <c r="E131" s="213">
        <v>0</v>
      </c>
      <c r="F131" s="204">
        <v>0</v>
      </c>
      <c r="G131" s="213">
        <v>587121</v>
      </c>
      <c r="H131" s="213">
        <v>0</v>
      </c>
    </row>
    <row r="132" spans="1:10" s="334" customFormat="1" ht="17.100000000000001" customHeight="1" x14ac:dyDescent="0.25">
      <c r="A132" s="166"/>
      <c r="B132" s="166"/>
      <c r="C132" s="213"/>
      <c r="D132" s="213"/>
      <c r="E132" s="213"/>
      <c r="F132" s="213"/>
      <c r="G132" s="792"/>
      <c r="H132" s="213"/>
    </row>
    <row r="133" spans="1:10" s="334" customFormat="1" ht="17.100000000000001" customHeight="1" x14ac:dyDescent="0.25">
      <c r="A133" s="1159" t="s">
        <v>158</v>
      </c>
      <c r="B133" s="1161"/>
      <c r="C133" s="479">
        <f t="shared" ref="C133:H133" si="17">SUM(C131:C132)</f>
        <v>1</v>
      </c>
      <c r="D133" s="490">
        <f t="shared" si="17"/>
        <v>195.7064</v>
      </c>
      <c r="E133" s="491">
        <f t="shared" si="17"/>
        <v>0</v>
      </c>
      <c r="F133" s="491">
        <f t="shared" si="17"/>
        <v>0</v>
      </c>
      <c r="G133" s="491">
        <f t="shared" si="17"/>
        <v>587121</v>
      </c>
      <c r="H133" s="479">
        <f t="shared" si="17"/>
        <v>0</v>
      </c>
    </row>
    <row r="134" spans="1:10" s="334" customFormat="1" ht="17.100000000000001" customHeight="1" x14ac:dyDescent="0.25">
      <c r="A134" s="482"/>
      <c r="B134" s="431"/>
      <c r="C134" s="349"/>
      <c r="D134" s="483"/>
      <c r="E134" s="351"/>
      <c r="F134" s="351"/>
      <c r="G134" s="351"/>
      <c r="H134" s="21"/>
    </row>
    <row r="135" spans="1:10" s="334" customFormat="1" ht="17.100000000000001" customHeight="1" x14ac:dyDescent="0.25">
      <c r="A135" s="482"/>
      <c r="B135" s="431"/>
      <c r="C135" s="349"/>
      <c r="D135" s="483"/>
      <c r="E135" s="351"/>
      <c r="F135" s="351"/>
      <c r="G135" s="351"/>
      <c r="H135" s="21"/>
    </row>
    <row r="136" spans="1:10" s="334" customFormat="1" ht="17.100000000000001" customHeight="1" x14ac:dyDescent="0.25">
      <c r="A136" s="1163" t="s">
        <v>119</v>
      </c>
      <c r="B136" s="1163"/>
      <c r="C136" s="1163"/>
      <c r="D136" s="1163"/>
      <c r="E136" s="1163"/>
      <c r="F136" s="1163"/>
      <c r="G136" s="1163"/>
      <c r="H136" s="1163"/>
    </row>
    <row r="137" spans="1:10" s="334" customFormat="1" ht="17.100000000000001" customHeight="1" x14ac:dyDescent="0.25">
      <c r="A137" s="1165" t="s">
        <v>2</v>
      </c>
      <c r="B137" s="1166" t="s">
        <v>3</v>
      </c>
      <c r="C137" s="1166" t="s">
        <v>4</v>
      </c>
      <c r="D137" s="48" t="s">
        <v>5</v>
      </c>
      <c r="E137" s="49" t="s">
        <v>6</v>
      </c>
      <c r="F137" s="50" t="s">
        <v>7</v>
      </c>
      <c r="G137" s="50" t="s">
        <v>8</v>
      </c>
      <c r="H137" s="50" t="s">
        <v>9</v>
      </c>
    </row>
    <row r="138" spans="1:10" s="334" customFormat="1" ht="17.100000000000001" customHeight="1" x14ac:dyDescent="0.25">
      <c r="A138" s="1165"/>
      <c r="B138" s="1167"/>
      <c r="C138" s="1167"/>
      <c r="D138" s="51" t="s">
        <v>78</v>
      </c>
      <c r="E138" s="52" t="s">
        <v>657</v>
      </c>
      <c r="F138" s="52" t="s">
        <v>80</v>
      </c>
      <c r="G138" s="52" t="s">
        <v>80</v>
      </c>
      <c r="H138" s="54" t="s">
        <v>13</v>
      </c>
    </row>
    <row r="139" spans="1:10" s="334" customFormat="1" ht="17.100000000000001" customHeight="1" x14ac:dyDescent="0.2">
      <c r="A139" s="145">
        <v>1</v>
      </c>
      <c r="B139" s="274" t="s">
        <v>35</v>
      </c>
      <c r="C139" s="1028">
        <v>1</v>
      </c>
      <c r="D139" s="1028">
        <v>1516.8</v>
      </c>
      <c r="E139" s="1028">
        <v>885550</v>
      </c>
      <c r="F139" s="1028">
        <v>708440000</v>
      </c>
      <c r="G139" s="1028">
        <v>72000000</v>
      </c>
      <c r="H139" s="1028">
        <v>40</v>
      </c>
      <c r="I139" s="334">
        <f t="shared" ref="I139:I199" si="18">F139/E139</f>
        <v>800</v>
      </c>
      <c r="J139" s="334">
        <v>750.00032710063567</v>
      </c>
    </row>
    <row r="140" spans="1:10" s="334" customFormat="1" ht="17.100000000000001" customHeight="1" x14ac:dyDescent="0.25">
      <c r="A140" s="1159" t="s">
        <v>158</v>
      </c>
      <c r="B140" s="1161"/>
      <c r="C140" s="481">
        <f t="shared" ref="C140:H140" si="19">SUM(C139:C139)</f>
        <v>1</v>
      </c>
      <c r="D140" s="485">
        <f t="shared" si="19"/>
        <v>1516.8</v>
      </c>
      <c r="E140" s="481">
        <f t="shared" si="19"/>
        <v>885550</v>
      </c>
      <c r="F140" s="481">
        <f t="shared" si="19"/>
        <v>708440000</v>
      </c>
      <c r="G140" s="481">
        <f t="shared" si="19"/>
        <v>72000000</v>
      </c>
      <c r="H140" s="481">
        <f t="shared" si="19"/>
        <v>40</v>
      </c>
      <c r="I140" s="334">
        <f t="shared" si="18"/>
        <v>800</v>
      </c>
    </row>
    <row r="141" spans="1:10" s="334" customFormat="1" ht="17.100000000000001" customHeight="1" x14ac:dyDescent="0.25">
      <c r="A141" s="482"/>
      <c r="B141" s="431"/>
      <c r="C141" s="349"/>
      <c r="D141" s="483"/>
      <c r="E141" s="351"/>
      <c r="F141" s="351"/>
      <c r="G141" s="351"/>
      <c r="H141" s="21"/>
    </row>
    <row r="142" spans="1:10" s="334" customFormat="1" ht="17.100000000000001" customHeight="1" x14ac:dyDescent="0.25">
      <c r="A142" s="1163" t="s">
        <v>88</v>
      </c>
      <c r="B142" s="1163"/>
      <c r="C142" s="1163"/>
      <c r="D142" s="1163"/>
      <c r="E142" s="1163"/>
      <c r="F142" s="1163"/>
      <c r="G142" s="1163"/>
      <c r="H142" s="1163"/>
    </row>
    <row r="143" spans="1:10" s="334" customFormat="1" ht="17.100000000000001" customHeight="1" x14ac:dyDescent="0.25">
      <c r="A143" s="1165" t="s">
        <v>2</v>
      </c>
      <c r="B143" s="1166" t="s">
        <v>3</v>
      </c>
      <c r="C143" s="1166" t="s">
        <v>4</v>
      </c>
      <c r="D143" s="48" t="s">
        <v>5</v>
      </c>
      <c r="E143" s="49" t="s">
        <v>6</v>
      </c>
      <c r="F143" s="50" t="s">
        <v>7</v>
      </c>
      <c r="G143" s="50" t="s">
        <v>8</v>
      </c>
      <c r="H143" s="50" t="s">
        <v>9</v>
      </c>
    </row>
    <row r="144" spans="1:10" s="334" customFormat="1" ht="17.100000000000001" customHeight="1" x14ac:dyDescent="0.25">
      <c r="A144" s="1165"/>
      <c r="B144" s="1167"/>
      <c r="C144" s="1167"/>
      <c r="D144" s="51" t="s">
        <v>78</v>
      </c>
      <c r="E144" s="52" t="s">
        <v>657</v>
      </c>
      <c r="F144" s="52" t="s">
        <v>80</v>
      </c>
      <c r="G144" s="52" t="s">
        <v>80</v>
      </c>
      <c r="H144" s="54" t="s">
        <v>13</v>
      </c>
    </row>
    <row r="145" spans="1:10" s="334" customFormat="1" ht="17.100000000000001" customHeight="1" x14ac:dyDescent="0.25">
      <c r="A145" s="63">
        <v>1</v>
      </c>
      <c r="B145" s="274" t="s">
        <v>17</v>
      </c>
      <c r="C145" s="203">
        <v>2</v>
      </c>
      <c r="D145" s="489">
        <v>9.15</v>
      </c>
      <c r="E145" s="305">
        <v>4285</v>
      </c>
      <c r="F145" s="305">
        <v>17997000</v>
      </c>
      <c r="G145" s="385">
        <v>139547</v>
      </c>
      <c r="H145" s="385">
        <v>10</v>
      </c>
      <c r="I145" s="334">
        <f t="shared" si="18"/>
        <v>4200</v>
      </c>
      <c r="J145" s="334">
        <v>4400</v>
      </c>
    </row>
    <row r="146" spans="1:10" s="334" customFormat="1" ht="17.100000000000001" customHeight="1" x14ac:dyDescent="0.25">
      <c r="A146" s="63">
        <v>2</v>
      </c>
      <c r="B146" s="274" t="s">
        <v>466</v>
      </c>
      <c r="C146" s="145">
        <v>1</v>
      </c>
      <c r="D146" s="285">
        <v>4.05</v>
      </c>
      <c r="E146" s="286">
        <v>0</v>
      </c>
      <c r="F146" s="217">
        <v>0</v>
      </c>
      <c r="G146" s="217">
        <v>4052</v>
      </c>
      <c r="H146" s="63">
        <v>0</v>
      </c>
      <c r="I146" s="334" t="e">
        <f t="shared" si="18"/>
        <v>#DIV/0!</v>
      </c>
      <c r="J146" s="334">
        <v>115</v>
      </c>
    </row>
    <row r="147" spans="1:10" s="334" customFormat="1" ht="17.100000000000001" customHeight="1" x14ac:dyDescent="0.25">
      <c r="A147" s="63">
        <v>3</v>
      </c>
      <c r="B147" s="798" t="s">
        <v>35</v>
      </c>
      <c r="C147" s="145">
        <v>3</v>
      </c>
      <c r="D147" s="285">
        <f>867.56+32.37</f>
        <v>899.93</v>
      </c>
      <c r="E147" s="286">
        <v>4684139</v>
      </c>
      <c r="F147" s="217">
        <v>2810483400</v>
      </c>
      <c r="G147" s="217">
        <f>374731120+129480</f>
        <v>374860600</v>
      </c>
      <c r="H147" s="63">
        <v>290</v>
      </c>
      <c r="I147" s="334">
        <f t="shared" si="18"/>
        <v>600</v>
      </c>
      <c r="J147" s="334">
        <v>680</v>
      </c>
    </row>
    <row r="148" spans="1:10" s="334" customFormat="1" ht="17.100000000000001" customHeight="1" x14ac:dyDescent="0.25">
      <c r="A148" s="276">
        <v>4</v>
      </c>
      <c r="B148" s="797" t="s">
        <v>167</v>
      </c>
      <c r="C148" s="746">
        <v>0</v>
      </c>
      <c r="D148" s="285">
        <v>0</v>
      </c>
      <c r="E148" s="217">
        <v>0</v>
      </c>
      <c r="F148" s="217">
        <v>0</v>
      </c>
      <c r="G148" s="217">
        <v>0</v>
      </c>
      <c r="H148" s="63">
        <v>0</v>
      </c>
      <c r="I148" s="334" t="e">
        <f t="shared" si="18"/>
        <v>#DIV/0!</v>
      </c>
      <c r="J148" s="334">
        <v>774.99790425276854</v>
      </c>
    </row>
    <row r="149" spans="1:10" s="334" customFormat="1" ht="16.5" customHeight="1" x14ac:dyDescent="0.25">
      <c r="A149" s="276"/>
      <c r="B149" s="196"/>
      <c r="C149" s="746"/>
      <c r="D149" s="285"/>
      <c r="E149" s="217"/>
      <c r="F149" s="217"/>
      <c r="G149" s="217"/>
      <c r="H149" s="63"/>
    </row>
    <row r="150" spans="1:10" s="334" customFormat="1" ht="17.100000000000001" customHeight="1" x14ac:dyDescent="0.25">
      <c r="A150" s="1159" t="s">
        <v>158</v>
      </c>
      <c r="B150" s="1160"/>
      <c r="C150" s="484">
        <f t="shared" ref="C150:H150" si="20">SUM(C145:C149)</f>
        <v>6</v>
      </c>
      <c r="D150" s="484">
        <f t="shared" si="20"/>
        <v>913.13</v>
      </c>
      <c r="E150" s="481">
        <f t="shared" si="20"/>
        <v>4688424</v>
      </c>
      <c r="F150" s="481">
        <f t="shared" si="20"/>
        <v>2828480400</v>
      </c>
      <c r="G150" s="481">
        <f t="shared" si="20"/>
        <v>375004199</v>
      </c>
      <c r="H150" s="484">
        <f t="shared" si="20"/>
        <v>300</v>
      </c>
    </row>
    <row r="151" spans="1:10" s="334" customFormat="1" ht="17.100000000000001" customHeight="1" x14ac:dyDescent="0.25">
      <c r="A151" s="482"/>
      <c r="B151" s="431"/>
      <c r="C151" s="349"/>
      <c r="D151" s="483"/>
      <c r="E151" s="351"/>
      <c r="F151" s="351"/>
      <c r="G151" s="351"/>
      <c r="H151" s="21"/>
    </row>
    <row r="152" spans="1:10" s="334" customFormat="1" ht="17.100000000000001" customHeight="1" x14ac:dyDescent="0.25">
      <c r="A152" s="1163" t="s">
        <v>107</v>
      </c>
      <c r="B152" s="1163"/>
      <c r="C152" s="1163"/>
      <c r="D152" s="1163"/>
      <c r="E152" s="1163"/>
      <c r="F152" s="1163"/>
      <c r="G152" s="1163"/>
      <c r="H152" s="1163"/>
    </row>
    <row r="153" spans="1:10" s="334" customFormat="1" ht="17.100000000000001" customHeight="1" x14ac:dyDescent="0.25">
      <c r="A153" s="1165" t="s">
        <v>2</v>
      </c>
      <c r="B153" s="1166" t="s">
        <v>3</v>
      </c>
      <c r="C153" s="1166" t="s">
        <v>4</v>
      </c>
      <c r="D153" s="48" t="s">
        <v>5</v>
      </c>
      <c r="E153" s="49" t="s">
        <v>6</v>
      </c>
      <c r="F153" s="50" t="s">
        <v>7</v>
      </c>
      <c r="G153" s="50" t="s">
        <v>8</v>
      </c>
      <c r="H153" s="50" t="s">
        <v>9</v>
      </c>
    </row>
    <row r="154" spans="1:10" s="334" customFormat="1" ht="17.100000000000001" customHeight="1" x14ac:dyDescent="0.25">
      <c r="A154" s="1165"/>
      <c r="B154" s="1167"/>
      <c r="C154" s="1167"/>
      <c r="D154" s="51" t="s">
        <v>78</v>
      </c>
      <c r="E154" s="52" t="s">
        <v>657</v>
      </c>
      <c r="F154" s="52" t="s">
        <v>80</v>
      </c>
      <c r="G154" s="52" t="s">
        <v>80</v>
      </c>
      <c r="H154" s="54" t="s">
        <v>13</v>
      </c>
    </row>
    <row r="155" spans="1:10" s="334" customFormat="1" ht="17.100000000000001" customHeight="1" x14ac:dyDescent="0.25">
      <c r="A155" s="288">
        <v>1</v>
      </c>
      <c r="B155" s="289" t="s">
        <v>34</v>
      </c>
      <c r="C155" s="197">
        <v>1</v>
      </c>
      <c r="D155" s="254">
        <v>1063.3499999999999</v>
      </c>
      <c r="E155" s="254">
        <f>G155/200</f>
        <v>10633.5</v>
      </c>
      <c r="F155" s="287">
        <f>E155*1850</f>
        <v>19671975</v>
      </c>
      <c r="G155" s="223">
        <v>2126700</v>
      </c>
      <c r="H155" s="287">
        <v>250</v>
      </c>
      <c r="I155" s="334">
        <f t="shared" si="18"/>
        <v>1850</v>
      </c>
      <c r="J155" s="334">
        <v>1850</v>
      </c>
    </row>
    <row r="156" spans="1:10" s="334" customFormat="1" ht="17.100000000000001" customHeight="1" x14ac:dyDescent="0.25">
      <c r="A156" s="288">
        <v>2</v>
      </c>
      <c r="B156" s="289" t="s">
        <v>35</v>
      </c>
      <c r="C156" s="197">
        <v>5</v>
      </c>
      <c r="D156" s="254">
        <v>2185.77</v>
      </c>
      <c r="E156" s="254">
        <v>5050238</v>
      </c>
      <c r="F156" s="287">
        <f>E156*700</f>
        <v>3535166600</v>
      </c>
      <c r="G156" s="223">
        <v>404019065</v>
      </c>
      <c r="H156" s="287">
        <v>350</v>
      </c>
      <c r="I156" s="334">
        <f t="shared" si="18"/>
        <v>700</v>
      </c>
      <c r="J156" s="334">
        <v>810</v>
      </c>
    </row>
    <row r="157" spans="1:10" s="334" customFormat="1" ht="17.100000000000001" customHeight="1" x14ac:dyDescent="0.25">
      <c r="A157" s="1159" t="s">
        <v>158</v>
      </c>
      <c r="B157" s="1161"/>
      <c r="C157" s="484">
        <f t="shared" ref="C157:D157" si="21">SUM(C155:C156)</f>
        <v>6</v>
      </c>
      <c r="D157" s="485">
        <f t="shared" si="21"/>
        <v>3249.12</v>
      </c>
      <c r="E157" s="481">
        <f>SUM(E155:E156)</f>
        <v>5060871.5</v>
      </c>
      <c r="F157" s="481">
        <f>SUM(F155:F156)</f>
        <v>3554838575</v>
      </c>
      <c r="G157" s="481">
        <f>SUM(G155:G156)</f>
        <v>406145765</v>
      </c>
      <c r="H157" s="484">
        <f>SUM(H155:H156)</f>
        <v>600</v>
      </c>
      <c r="I157" s="334">
        <f t="shared" si="18"/>
        <v>702.41628838037082</v>
      </c>
    </row>
    <row r="158" spans="1:10" s="334" customFormat="1" ht="17.100000000000001" customHeight="1" x14ac:dyDescent="0.25">
      <c r="A158" s="482"/>
      <c r="B158" s="431"/>
      <c r="C158" s="349"/>
      <c r="D158" s="483"/>
      <c r="E158" s="351"/>
      <c r="F158" s="351"/>
      <c r="G158" s="351"/>
      <c r="H158" s="21"/>
    </row>
    <row r="159" spans="1:10" s="334" customFormat="1" ht="17.100000000000001" customHeight="1" x14ac:dyDescent="0.25">
      <c r="A159" s="1163" t="s">
        <v>108</v>
      </c>
      <c r="B159" s="1163"/>
      <c r="C159" s="1163"/>
      <c r="D159" s="1163"/>
      <c r="E159" s="1163"/>
      <c r="F159" s="1163"/>
      <c r="G159" s="1163"/>
      <c r="H159" s="1163"/>
    </row>
    <row r="160" spans="1:10" s="334" customFormat="1" ht="17.100000000000001" customHeight="1" x14ac:dyDescent="0.25">
      <c r="A160" s="1165" t="s">
        <v>2</v>
      </c>
      <c r="B160" s="1166" t="s">
        <v>3</v>
      </c>
      <c r="C160" s="1166" t="s">
        <v>4</v>
      </c>
      <c r="D160" s="48" t="s">
        <v>5</v>
      </c>
      <c r="E160" s="49" t="s">
        <v>6</v>
      </c>
      <c r="F160" s="50" t="s">
        <v>7</v>
      </c>
      <c r="G160" s="50" t="s">
        <v>8</v>
      </c>
      <c r="H160" s="50" t="s">
        <v>9</v>
      </c>
    </row>
    <row r="161" spans="1:10" s="334" customFormat="1" ht="17.100000000000001" customHeight="1" x14ac:dyDescent="0.25">
      <c r="A161" s="1165"/>
      <c r="B161" s="1167"/>
      <c r="C161" s="1167"/>
      <c r="D161" s="51" t="s">
        <v>78</v>
      </c>
      <c r="E161" s="52" t="s">
        <v>657</v>
      </c>
      <c r="F161" s="52" t="s">
        <v>80</v>
      </c>
      <c r="G161" s="52" t="s">
        <v>80</v>
      </c>
      <c r="H161" s="54" t="s">
        <v>13</v>
      </c>
    </row>
    <row r="162" spans="1:10" s="334" customFormat="1" ht="17.100000000000001" customHeight="1" x14ac:dyDescent="0.25">
      <c r="A162" s="63">
        <v>1</v>
      </c>
      <c r="B162" s="274" t="s">
        <v>35</v>
      </c>
      <c r="C162" s="143">
        <v>10</v>
      </c>
      <c r="D162" s="277">
        <v>5190.2</v>
      </c>
      <c r="E162" s="217">
        <v>24642439</v>
      </c>
      <c r="F162" s="217">
        <v>16633646359</v>
      </c>
      <c r="G162" s="217">
        <v>1992936402</v>
      </c>
      <c r="H162" s="63">
        <v>600</v>
      </c>
      <c r="I162" s="334">
        <f t="shared" si="18"/>
        <v>675.00000137973359</v>
      </c>
      <c r="J162" s="334">
        <v>850.00000002426418</v>
      </c>
    </row>
    <row r="163" spans="1:10" s="334" customFormat="1" ht="17.100000000000001" customHeight="1" x14ac:dyDescent="0.25">
      <c r="A163" s="1159" t="s">
        <v>158</v>
      </c>
      <c r="B163" s="1161"/>
      <c r="C163" s="481">
        <f t="shared" ref="C163:H163" si="22">SUM(C162:C162)</f>
        <v>10</v>
      </c>
      <c r="D163" s="485">
        <f t="shared" si="22"/>
        <v>5190.2</v>
      </c>
      <c r="E163" s="481">
        <f>SUM(E162:E162)</f>
        <v>24642439</v>
      </c>
      <c r="F163" s="481">
        <f>SUM(F162:F162)</f>
        <v>16633646359</v>
      </c>
      <c r="G163" s="481">
        <f>SUM(G162:G162)</f>
        <v>1992936402</v>
      </c>
      <c r="H163" s="481">
        <f t="shared" si="22"/>
        <v>600</v>
      </c>
      <c r="I163" s="334">
        <f t="shared" si="18"/>
        <v>675.00000137973359</v>
      </c>
    </row>
    <row r="164" spans="1:10" s="334" customFormat="1" ht="17.100000000000001" customHeight="1" x14ac:dyDescent="0.25">
      <c r="A164" s="482"/>
      <c r="B164" s="349"/>
      <c r="C164" s="346"/>
      <c r="D164" s="425"/>
      <c r="E164" s="346"/>
      <c r="F164" s="346"/>
      <c r="G164" s="346"/>
      <c r="H164" s="346"/>
    </row>
    <row r="165" spans="1:10" s="334" customFormat="1" ht="17.100000000000001" customHeight="1" x14ac:dyDescent="0.25">
      <c r="A165" s="1164" t="s">
        <v>172</v>
      </c>
      <c r="B165" s="1164"/>
      <c r="C165" s="1164"/>
      <c r="D165" s="1164"/>
      <c r="E165" s="1164"/>
      <c r="F165" s="1164"/>
      <c r="G165" s="1164"/>
      <c r="H165" s="1164"/>
    </row>
    <row r="166" spans="1:10" s="334" customFormat="1" ht="17.100000000000001" customHeight="1" x14ac:dyDescent="0.25">
      <c r="A166" s="1165" t="s">
        <v>2</v>
      </c>
      <c r="B166" s="1166" t="s">
        <v>3</v>
      </c>
      <c r="C166" s="1166" t="s">
        <v>4</v>
      </c>
      <c r="D166" s="48" t="s">
        <v>5</v>
      </c>
      <c r="E166" s="49" t="s">
        <v>6</v>
      </c>
      <c r="F166" s="50" t="s">
        <v>7</v>
      </c>
      <c r="G166" s="50" t="s">
        <v>8</v>
      </c>
      <c r="H166" s="50" t="s">
        <v>9</v>
      </c>
    </row>
    <row r="167" spans="1:10" s="334" customFormat="1" ht="17.100000000000001" customHeight="1" x14ac:dyDescent="0.25">
      <c r="A167" s="1165"/>
      <c r="B167" s="1167"/>
      <c r="C167" s="1167"/>
      <c r="D167" s="51" t="s">
        <v>78</v>
      </c>
      <c r="E167" s="52" t="s">
        <v>657</v>
      </c>
      <c r="F167" s="52" t="s">
        <v>80</v>
      </c>
      <c r="G167" s="52" t="s">
        <v>80</v>
      </c>
      <c r="H167" s="54" t="s">
        <v>13</v>
      </c>
    </row>
    <row r="168" spans="1:10" s="334" customFormat="1" ht="17.100000000000001" customHeight="1" x14ac:dyDescent="0.25">
      <c r="A168" s="63">
        <v>1</v>
      </c>
      <c r="B168" s="63" t="s">
        <v>35</v>
      </c>
      <c r="C168" s="145">
        <v>0</v>
      </c>
      <c r="D168" s="278">
        <v>0</v>
      </c>
      <c r="E168" s="286">
        <v>0</v>
      </c>
      <c r="F168" s="216">
        <v>0</v>
      </c>
      <c r="G168" s="143">
        <v>0</v>
      </c>
      <c r="H168" s="143">
        <v>0</v>
      </c>
      <c r="I168" s="334" t="e">
        <f t="shared" si="18"/>
        <v>#DIV/0!</v>
      </c>
      <c r="J168" s="334">
        <v>750</v>
      </c>
    </row>
    <row r="169" spans="1:10" s="334" customFormat="1" ht="17.100000000000001" customHeight="1" x14ac:dyDescent="0.25">
      <c r="A169" s="63">
        <v>2</v>
      </c>
      <c r="B169" s="63" t="s">
        <v>17</v>
      </c>
      <c r="C169" s="145">
        <v>3</v>
      </c>
      <c r="D169" s="278">
        <v>229.03</v>
      </c>
      <c r="E169" s="286">
        <v>143379</v>
      </c>
      <c r="F169" s="610">
        <f>E169*4600</f>
        <v>659543400</v>
      </c>
      <c r="G169" s="689">
        <v>13537417</v>
      </c>
      <c r="H169" s="689">
        <v>50</v>
      </c>
      <c r="I169" s="334">
        <f t="shared" si="18"/>
        <v>4600</v>
      </c>
      <c r="J169" s="334">
        <f>G169/E169</f>
        <v>94.41701364913969</v>
      </c>
    </row>
    <row r="170" spans="1:10" s="334" customFormat="1" ht="17.100000000000001" customHeight="1" x14ac:dyDescent="0.25">
      <c r="A170" s="1159" t="s">
        <v>158</v>
      </c>
      <c r="B170" s="1161"/>
      <c r="C170" s="484">
        <f t="shared" ref="C170:H170" si="23">SUM(C168:C169)</f>
        <v>3</v>
      </c>
      <c r="D170" s="485">
        <f t="shared" si="23"/>
        <v>229.03</v>
      </c>
      <c r="E170" s="481">
        <f t="shared" si="23"/>
        <v>143379</v>
      </c>
      <c r="F170" s="481">
        <f>SUM(F168:F169)</f>
        <v>659543400</v>
      </c>
      <c r="G170" s="481">
        <f t="shared" si="23"/>
        <v>13537417</v>
      </c>
      <c r="H170" s="484">
        <f t="shared" si="23"/>
        <v>50</v>
      </c>
      <c r="I170" s="334">
        <f t="shared" si="18"/>
        <v>4600</v>
      </c>
    </row>
    <row r="171" spans="1:10" s="334" customFormat="1" ht="17.100000000000001" customHeight="1" x14ac:dyDescent="0.25">
      <c r="A171" s="482"/>
      <c r="B171" s="349"/>
      <c r="C171" s="346"/>
      <c r="D171" s="425"/>
      <c r="E171" s="346"/>
      <c r="F171" s="346"/>
      <c r="G171" s="346"/>
      <c r="H171" s="346"/>
    </row>
    <row r="172" spans="1:10" s="334" customFormat="1" ht="17.100000000000001" customHeight="1" x14ac:dyDescent="0.25">
      <c r="A172" s="1163" t="s">
        <v>90</v>
      </c>
      <c r="B172" s="1163"/>
      <c r="C172" s="1163"/>
      <c r="D172" s="1163"/>
      <c r="E172" s="1163"/>
      <c r="F172" s="1163"/>
      <c r="G172" s="1163"/>
      <c r="H172" s="1163"/>
    </row>
    <row r="173" spans="1:10" s="334" customFormat="1" ht="17.100000000000001" customHeight="1" x14ac:dyDescent="0.25">
      <c r="A173" s="1165" t="s">
        <v>2</v>
      </c>
      <c r="B173" s="1166" t="s">
        <v>3</v>
      </c>
      <c r="C173" s="1166" t="s">
        <v>4</v>
      </c>
      <c r="D173" s="48" t="s">
        <v>5</v>
      </c>
      <c r="E173" s="49" t="s">
        <v>6</v>
      </c>
      <c r="F173" s="50" t="s">
        <v>7</v>
      </c>
      <c r="G173" s="50" t="s">
        <v>8</v>
      </c>
      <c r="H173" s="50" t="s">
        <v>9</v>
      </c>
    </row>
    <row r="174" spans="1:10" s="334" customFormat="1" ht="17.100000000000001" customHeight="1" x14ac:dyDescent="0.25">
      <c r="A174" s="1165"/>
      <c r="B174" s="1167"/>
      <c r="C174" s="1167"/>
      <c r="D174" s="51" t="s">
        <v>78</v>
      </c>
      <c r="E174" s="52" t="s">
        <v>657</v>
      </c>
      <c r="F174" s="52" t="s">
        <v>80</v>
      </c>
      <c r="G174" s="52" t="s">
        <v>80</v>
      </c>
      <c r="H174" s="54" t="s">
        <v>13</v>
      </c>
    </row>
    <row r="175" spans="1:10" s="334" customFormat="1" ht="17.100000000000001" customHeight="1" x14ac:dyDescent="0.25">
      <c r="A175" s="63">
        <v>1</v>
      </c>
      <c r="B175" s="274" t="s">
        <v>381</v>
      </c>
      <c r="C175" s="290">
        <v>0</v>
      </c>
      <c r="D175" s="293">
        <v>0</v>
      </c>
      <c r="E175" s="291"/>
      <c r="F175" s="290"/>
      <c r="G175" s="755"/>
      <c r="H175" s="203"/>
    </row>
    <row r="176" spans="1:10" s="334" customFormat="1" ht="17.100000000000001" customHeight="1" x14ac:dyDescent="0.25">
      <c r="A176" s="63">
        <v>2</v>
      </c>
      <c r="B176" s="273" t="s">
        <v>173</v>
      </c>
      <c r="C176" s="290">
        <v>3</v>
      </c>
      <c r="D176" s="293">
        <v>1725.8225</v>
      </c>
      <c r="E176" s="293">
        <v>218894</v>
      </c>
      <c r="F176" s="290">
        <f>E176*J176</f>
        <v>4706221000</v>
      </c>
      <c r="G176" s="755">
        <v>173976000</v>
      </c>
      <c r="H176" s="203">
        <v>22810</v>
      </c>
      <c r="I176" s="334">
        <f t="shared" si="18"/>
        <v>21500</v>
      </c>
      <c r="J176" s="334">
        <v>21500</v>
      </c>
    </row>
    <row r="177" spans="1:10" s="334" customFormat="1" ht="17.100000000000001" customHeight="1" x14ac:dyDescent="0.25">
      <c r="A177" s="63">
        <v>3</v>
      </c>
      <c r="B177" s="273" t="s">
        <v>174</v>
      </c>
      <c r="C177" s="196">
        <v>0</v>
      </c>
      <c r="D177" s="271">
        <v>0</v>
      </c>
      <c r="E177" s="293">
        <v>845164</v>
      </c>
      <c r="F177" s="290">
        <f>E177*J177</f>
        <v>13522624000</v>
      </c>
      <c r="G177" s="755">
        <v>6327004000</v>
      </c>
      <c r="H177" s="166"/>
      <c r="I177" s="334">
        <f t="shared" si="18"/>
        <v>16000</v>
      </c>
      <c r="J177" s="334">
        <v>16000</v>
      </c>
    </row>
    <row r="178" spans="1:10" s="334" customFormat="1" ht="17.100000000000001" customHeight="1" x14ac:dyDescent="0.25">
      <c r="A178" s="63">
        <v>4</v>
      </c>
      <c r="B178" s="274" t="s">
        <v>93</v>
      </c>
      <c r="C178" s="279">
        <v>0</v>
      </c>
      <c r="D178" s="280">
        <v>0</v>
      </c>
      <c r="E178" s="309">
        <v>513.55999999999995</v>
      </c>
      <c r="F178" s="279">
        <f>J178*E178</f>
        <v>35949199999.999992</v>
      </c>
      <c r="G178" s="228">
        <v>2258726000</v>
      </c>
      <c r="H178" s="294"/>
      <c r="I178" s="334">
        <f t="shared" si="18"/>
        <v>70000000</v>
      </c>
      <c r="J178" s="334">
        <v>70000000</v>
      </c>
    </row>
    <row r="179" spans="1:10" s="334" customFormat="1" ht="17.100000000000001" customHeight="1" x14ac:dyDescent="0.25">
      <c r="A179" s="63">
        <v>5</v>
      </c>
      <c r="B179" s="274" t="s">
        <v>15</v>
      </c>
      <c r="C179" s="145">
        <v>0</v>
      </c>
      <c r="D179" s="295">
        <v>0</v>
      </c>
      <c r="E179" s="228"/>
      <c r="F179" s="292"/>
      <c r="G179" s="228"/>
      <c r="H179" s="296"/>
    </row>
    <row r="180" spans="1:10" s="334" customFormat="1" ht="17.100000000000001" customHeight="1" x14ac:dyDescent="0.25">
      <c r="A180" s="1159" t="s">
        <v>158</v>
      </c>
      <c r="B180" s="1161"/>
      <c r="C180" s="484">
        <f t="shared" ref="C180:H180" si="24">SUM(C175:C179)</f>
        <v>3</v>
      </c>
      <c r="D180" s="485">
        <f t="shared" si="24"/>
        <v>1725.8225</v>
      </c>
      <c r="E180" s="492">
        <f t="shared" si="24"/>
        <v>1064571.56</v>
      </c>
      <c r="F180" s="481">
        <f t="shared" si="24"/>
        <v>54178044999.999992</v>
      </c>
      <c r="G180" s="480">
        <f t="shared" si="24"/>
        <v>8759706000</v>
      </c>
      <c r="H180" s="484">
        <f t="shared" si="24"/>
        <v>22810</v>
      </c>
    </row>
    <row r="181" spans="1:10" s="334" customFormat="1" ht="17.100000000000001" customHeight="1" x14ac:dyDescent="0.25">
      <c r="A181" s="482"/>
      <c r="B181" s="124"/>
      <c r="C181" s="124"/>
      <c r="D181" s="124"/>
      <c r="E181" s="124"/>
      <c r="F181" s="124"/>
      <c r="G181" s="124"/>
      <c r="H181" s="124"/>
    </row>
    <row r="182" spans="1:10" s="334" customFormat="1" ht="17.100000000000001" customHeight="1" x14ac:dyDescent="0.25">
      <c r="A182" s="1163" t="s">
        <v>120</v>
      </c>
      <c r="B182" s="1163"/>
      <c r="C182" s="1163"/>
      <c r="D182" s="1163"/>
      <c r="E182" s="1163"/>
      <c r="F182" s="1163"/>
      <c r="G182" s="1163"/>
      <c r="H182" s="1163"/>
    </row>
    <row r="183" spans="1:10" s="334" customFormat="1" ht="17.100000000000001" customHeight="1" x14ac:dyDescent="0.25">
      <c r="A183" s="1165" t="s">
        <v>2</v>
      </c>
      <c r="B183" s="1166" t="s">
        <v>3</v>
      </c>
      <c r="C183" s="1166" t="s">
        <v>4</v>
      </c>
      <c r="D183" s="48" t="s">
        <v>5</v>
      </c>
      <c r="E183" s="49" t="s">
        <v>6</v>
      </c>
      <c r="F183" s="50" t="s">
        <v>7</v>
      </c>
      <c r="G183" s="50" t="s">
        <v>8</v>
      </c>
      <c r="H183" s="50" t="s">
        <v>9</v>
      </c>
    </row>
    <row r="184" spans="1:10" s="334" customFormat="1" ht="17.100000000000001" customHeight="1" x14ac:dyDescent="0.25">
      <c r="A184" s="1165"/>
      <c r="B184" s="1167"/>
      <c r="C184" s="1167"/>
      <c r="D184" s="51" t="s">
        <v>78</v>
      </c>
      <c r="E184" s="52" t="s">
        <v>657</v>
      </c>
      <c r="F184" s="52" t="s">
        <v>80</v>
      </c>
      <c r="G184" s="52" t="s">
        <v>80</v>
      </c>
      <c r="H184" s="54" t="s">
        <v>13</v>
      </c>
    </row>
    <row r="185" spans="1:10" s="334" customFormat="1" ht="17.100000000000001" customHeight="1" x14ac:dyDescent="0.2">
      <c r="A185" s="63">
        <v>1</v>
      </c>
      <c r="B185" s="274" t="s">
        <v>35</v>
      </c>
      <c r="C185" s="1028">
        <v>1</v>
      </c>
      <c r="D185" s="1028">
        <v>895.42</v>
      </c>
      <c r="E185" s="1028">
        <v>3278226</v>
      </c>
      <c r="F185" s="1027">
        <f>E185*700</f>
        <v>2294758200</v>
      </c>
      <c r="G185" s="1029">
        <v>256000000</v>
      </c>
      <c r="H185" s="944">
        <v>168</v>
      </c>
      <c r="I185" s="334">
        <f t="shared" si="18"/>
        <v>700</v>
      </c>
      <c r="J185" s="334">
        <v>750</v>
      </c>
    </row>
    <row r="186" spans="1:10" s="334" customFormat="1" ht="17.100000000000001" customHeight="1" x14ac:dyDescent="0.25">
      <c r="A186" s="1159" t="s">
        <v>158</v>
      </c>
      <c r="B186" s="1161"/>
      <c r="C186" s="484">
        <f t="shared" ref="C186:H186" si="25">SUM(C185)</f>
        <v>1</v>
      </c>
      <c r="D186" s="485">
        <f t="shared" si="25"/>
        <v>895.42</v>
      </c>
      <c r="E186" s="481">
        <f t="shared" si="25"/>
        <v>3278226</v>
      </c>
      <c r="F186" s="481">
        <f t="shared" si="25"/>
        <v>2294758200</v>
      </c>
      <c r="G186" s="481">
        <f t="shared" si="25"/>
        <v>256000000</v>
      </c>
      <c r="H186" s="484">
        <f t="shared" si="25"/>
        <v>168</v>
      </c>
      <c r="I186" s="334">
        <f t="shared" si="18"/>
        <v>700</v>
      </c>
    </row>
    <row r="187" spans="1:10" s="334" customFormat="1" ht="17.100000000000001" customHeight="1" x14ac:dyDescent="0.25">
      <c r="A187" s="482"/>
      <c r="B187" s="431"/>
      <c r="C187" s="349"/>
      <c r="D187" s="483"/>
      <c r="E187" s="351"/>
      <c r="F187" s="351"/>
      <c r="G187" s="351"/>
      <c r="H187" s="21"/>
    </row>
    <row r="188" spans="1:10" s="334" customFormat="1" ht="17.100000000000001" customHeight="1" x14ac:dyDescent="0.25">
      <c r="A188" s="1163" t="s">
        <v>376</v>
      </c>
      <c r="B188" s="1163"/>
      <c r="C188" s="1163"/>
      <c r="D188" s="1163"/>
      <c r="E188" s="1163"/>
      <c r="F188" s="1163"/>
      <c r="G188" s="1163"/>
      <c r="H188" s="1163"/>
    </row>
    <row r="189" spans="1:10" s="334" customFormat="1" ht="17.100000000000001" customHeight="1" x14ac:dyDescent="0.25">
      <c r="A189" s="1165" t="s">
        <v>2</v>
      </c>
      <c r="B189" s="1166" t="s">
        <v>3</v>
      </c>
      <c r="C189" s="1166" t="s">
        <v>4</v>
      </c>
      <c r="D189" s="48" t="s">
        <v>5</v>
      </c>
      <c r="E189" s="49" t="s">
        <v>6</v>
      </c>
      <c r="F189" s="50" t="s">
        <v>7</v>
      </c>
      <c r="G189" s="50" t="s">
        <v>8</v>
      </c>
      <c r="H189" s="50" t="s">
        <v>9</v>
      </c>
    </row>
    <row r="190" spans="1:10" s="334" customFormat="1" ht="17.100000000000001" customHeight="1" x14ac:dyDescent="0.25">
      <c r="A190" s="1165"/>
      <c r="B190" s="1167"/>
      <c r="C190" s="1167"/>
      <c r="D190" s="51" t="s">
        <v>78</v>
      </c>
      <c r="E190" s="52" t="s">
        <v>657</v>
      </c>
      <c r="F190" s="52" t="s">
        <v>80</v>
      </c>
      <c r="G190" s="52" t="s">
        <v>80</v>
      </c>
      <c r="H190" s="54" t="s">
        <v>13</v>
      </c>
    </row>
    <row r="191" spans="1:10" s="334" customFormat="1" ht="17.100000000000001" customHeight="1" x14ac:dyDescent="0.25">
      <c r="A191" s="63">
        <v>1</v>
      </c>
      <c r="B191" s="274" t="s">
        <v>161</v>
      </c>
      <c r="C191" s="615">
        <v>4</v>
      </c>
      <c r="D191" s="615">
        <v>19</v>
      </c>
      <c r="E191" s="615"/>
      <c r="F191" s="615"/>
      <c r="G191" s="615"/>
      <c r="H191" s="615"/>
      <c r="I191" s="334" t="e">
        <f t="shared" si="18"/>
        <v>#DIV/0!</v>
      </c>
      <c r="J191" s="334">
        <v>1200</v>
      </c>
    </row>
    <row r="192" spans="1:10" s="334" customFormat="1" ht="17.100000000000001" customHeight="1" x14ac:dyDescent="0.25">
      <c r="A192" s="203">
        <v>2</v>
      </c>
      <c r="B192" s="333" t="s">
        <v>48</v>
      </c>
      <c r="C192" s="615">
        <v>2</v>
      </c>
      <c r="D192" s="615">
        <v>18.2</v>
      </c>
      <c r="E192" s="615"/>
      <c r="F192" s="615"/>
      <c r="G192" s="615"/>
      <c r="H192" s="615"/>
      <c r="I192" s="334" t="e">
        <f t="shared" si="18"/>
        <v>#DIV/0!</v>
      </c>
      <c r="J192" s="334">
        <v>900</v>
      </c>
    </row>
    <row r="193" spans="1:10" s="334" customFormat="1" ht="17.100000000000001" customHeight="1" x14ac:dyDescent="0.25">
      <c r="A193" s="613"/>
      <c r="B193" s="614"/>
      <c r="C193" s="615"/>
      <c r="D193" s="616"/>
      <c r="E193" s="617"/>
      <c r="F193" s="618"/>
      <c r="G193" s="615"/>
      <c r="H193" s="615"/>
    </row>
    <row r="194" spans="1:10" s="334" customFormat="1" ht="17.100000000000001" customHeight="1" x14ac:dyDescent="0.25">
      <c r="A194" s="1162" t="s">
        <v>158</v>
      </c>
      <c r="B194" s="1160"/>
      <c r="C194" s="247">
        <f>SUM(C191:C193)</f>
        <v>6</v>
      </c>
      <c r="D194" s="247">
        <f t="shared" ref="D194:H194" si="26">SUM(D191:D193)</f>
        <v>37.200000000000003</v>
      </c>
      <c r="E194" s="247">
        <f t="shared" si="26"/>
        <v>0</v>
      </c>
      <c r="F194" s="247">
        <f t="shared" si="26"/>
        <v>0</v>
      </c>
      <c r="G194" s="247">
        <f>SUM(G191:G193)</f>
        <v>0</v>
      </c>
      <c r="H194" s="247">
        <f t="shared" si="26"/>
        <v>0</v>
      </c>
    </row>
    <row r="195" spans="1:10" s="334" customFormat="1" ht="17.100000000000001" customHeight="1" x14ac:dyDescent="0.25">
      <c r="A195" s="482"/>
      <c r="B195" s="431"/>
      <c r="C195" s="349"/>
      <c r="D195" s="483"/>
      <c r="E195" s="351"/>
      <c r="F195" s="351"/>
      <c r="G195" s="351"/>
      <c r="H195" s="21"/>
    </row>
    <row r="196" spans="1:10" s="334" customFormat="1" ht="17.100000000000001" customHeight="1" x14ac:dyDescent="0.25">
      <c r="A196" s="1163" t="s">
        <v>91</v>
      </c>
      <c r="B196" s="1163"/>
      <c r="C196" s="1163"/>
      <c r="D196" s="1163"/>
      <c r="E196" s="1163"/>
      <c r="F196" s="1163"/>
      <c r="G196" s="1163"/>
      <c r="H196" s="1163"/>
    </row>
    <row r="197" spans="1:10" s="334" customFormat="1" ht="17.100000000000001" customHeight="1" x14ac:dyDescent="0.25">
      <c r="A197" s="1165" t="s">
        <v>2</v>
      </c>
      <c r="B197" s="1166" t="s">
        <v>3</v>
      </c>
      <c r="C197" s="1166" t="s">
        <v>4</v>
      </c>
      <c r="D197" s="48" t="s">
        <v>5</v>
      </c>
      <c r="E197" s="49" t="s">
        <v>6</v>
      </c>
      <c r="F197" s="50" t="s">
        <v>7</v>
      </c>
      <c r="G197" s="50" t="s">
        <v>8</v>
      </c>
      <c r="H197" s="50" t="s">
        <v>9</v>
      </c>
    </row>
    <row r="198" spans="1:10" s="334" customFormat="1" ht="17.100000000000001" customHeight="1" x14ac:dyDescent="0.25">
      <c r="A198" s="1165"/>
      <c r="B198" s="1167"/>
      <c r="C198" s="1167"/>
      <c r="D198" s="51" t="s">
        <v>78</v>
      </c>
      <c r="E198" s="52" t="s">
        <v>657</v>
      </c>
      <c r="F198" s="52" t="s">
        <v>80</v>
      </c>
      <c r="G198" s="52" t="s">
        <v>80</v>
      </c>
      <c r="H198" s="54" t="s">
        <v>13</v>
      </c>
    </row>
    <row r="199" spans="1:10" s="334" customFormat="1" ht="17.100000000000001" customHeight="1" x14ac:dyDescent="0.2">
      <c r="A199" s="63">
        <v>1</v>
      </c>
      <c r="B199" s="63" t="s">
        <v>35</v>
      </c>
      <c r="C199" s="954">
        <v>5</v>
      </c>
      <c r="D199" s="954">
        <v>1124.01</v>
      </c>
      <c r="E199" s="954">
        <v>12697793</v>
      </c>
      <c r="F199" s="954">
        <f>E199*700</f>
        <v>8888455100</v>
      </c>
      <c r="G199" s="954">
        <v>1016640000</v>
      </c>
      <c r="H199" s="954">
        <v>960</v>
      </c>
      <c r="I199" s="334">
        <f t="shared" si="18"/>
        <v>700</v>
      </c>
      <c r="J199" s="334">
        <v>884.99999999598003</v>
      </c>
    </row>
    <row r="200" spans="1:10" s="334" customFormat="1" ht="17.100000000000001" customHeight="1" x14ac:dyDescent="0.2">
      <c r="A200" s="63">
        <v>2</v>
      </c>
      <c r="B200" s="63" t="s">
        <v>48</v>
      </c>
      <c r="C200" s="954">
        <v>1</v>
      </c>
      <c r="D200" s="954">
        <v>49.48</v>
      </c>
      <c r="E200" s="954">
        <v>93284</v>
      </c>
      <c r="F200" s="954">
        <v>128824941</v>
      </c>
      <c r="G200" s="954">
        <v>8900000</v>
      </c>
      <c r="H200" s="954">
        <v>10</v>
      </c>
      <c r="I200" s="334">
        <f t="shared" ref="I200:I230" si="27">F200/E200</f>
        <v>1380.9971806526307</v>
      </c>
      <c r="J200" s="334">
        <v>1050</v>
      </c>
    </row>
    <row r="201" spans="1:10" s="334" customFormat="1" ht="17.100000000000001" customHeight="1" x14ac:dyDescent="0.2">
      <c r="A201" s="203">
        <v>3</v>
      </c>
      <c r="B201" s="203" t="s">
        <v>650</v>
      </c>
      <c r="C201" s="954">
        <v>1</v>
      </c>
      <c r="D201" s="954">
        <v>63</v>
      </c>
      <c r="E201" s="954">
        <v>3028</v>
      </c>
      <c r="F201" s="954">
        <v>756822</v>
      </c>
      <c r="G201" s="954">
        <v>378000</v>
      </c>
      <c r="H201" s="954">
        <v>0</v>
      </c>
      <c r="I201" s="334">
        <f t="shared" si="27"/>
        <v>249.94121532364596</v>
      </c>
      <c r="J201" s="334">
        <v>18500</v>
      </c>
    </row>
    <row r="202" spans="1:10" s="334" customFormat="1" ht="17.100000000000001" customHeight="1" x14ac:dyDescent="0.2">
      <c r="A202" s="166">
        <v>4</v>
      </c>
      <c r="B202" s="166" t="s">
        <v>29</v>
      </c>
      <c r="C202" s="954">
        <v>1</v>
      </c>
      <c r="D202" s="954">
        <v>167.62</v>
      </c>
      <c r="E202" s="954">
        <v>0</v>
      </c>
      <c r="F202" s="954">
        <v>0</v>
      </c>
      <c r="G202" s="954">
        <v>0</v>
      </c>
      <c r="H202" s="954">
        <v>0</v>
      </c>
    </row>
    <row r="203" spans="1:10" s="334" customFormat="1" ht="17.100000000000001" customHeight="1" x14ac:dyDescent="0.25">
      <c r="A203" s="1162" t="s">
        <v>158</v>
      </c>
      <c r="B203" s="1160"/>
      <c r="C203" s="479">
        <f>SUM(C199:C202)</f>
        <v>8</v>
      </c>
      <c r="D203" s="479">
        <f t="shared" ref="D203:H203" si="28">SUM(D199:D202)</f>
        <v>1404.1100000000001</v>
      </c>
      <c r="E203" s="479">
        <f t="shared" si="28"/>
        <v>12794105</v>
      </c>
      <c r="F203" s="479">
        <f t="shared" si="28"/>
        <v>9018036863</v>
      </c>
      <c r="G203" s="479">
        <f t="shared" si="28"/>
        <v>1025918000</v>
      </c>
      <c r="H203" s="479">
        <f t="shared" si="28"/>
        <v>970</v>
      </c>
    </row>
    <row r="204" spans="1:10" s="334" customFormat="1" ht="17.100000000000001" customHeight="1" x14ac:dyDescent="0.25">
      <c r="A204" s="1043"/>
      <c r="B204" s="1043"/>
      <c r="C204" s="1044"/>
      <c r="D204" s="1044"/>
      <c r="E204" s="1044"/>
      <c r="F204" s="1044"/>
      <c r="G204" s="1044"/>
      <c r="H204" s="1044"/>
    </row>
    <row r="205" spans="1:10" s="334" customFormat="1" ht="17.100000000000001" customHeight="1" x14ac:dyDescent="0.25">
      <c r="A205" s="1163" t="s">
        <v>95</v>
      </c>
      <c r="B205" s="1163"/>
      <c r="C205" s="1163"/>
      <c r="D205" s="1163"/>
      <c r="E205" s="1163"/>
      <c r="F205" s="1163"/>
      <c r="G205" s="1163"/>
      <c r="H205" s="1163"/>
    </row>
    <row r="206" spans="1:10" s="334" customFormat="1" ht="17.100000000000001" customHeight="1" x14ac:dyDescent="0.25">
      <c r="A206" s="1165" t="s">
        <v>2</v>
      </c>
      <c r="B206" s="1166" t="s">
        <v>3</v>
      </c>
      <c r="C206" s="1166" t="s">
        <v>4</v>
      </c>
      <c r="D206" s="48" t="s">
        <v>5</v>
      </c>
      <c r="E206" s="49" t="s">
        <v>6</v>
      </c>
      <c r="F206" s="50" t="s">
        <v>7</v>
      </c>
      <c r="G206" s="50" t="s">
        <v>8</v>
      </c>
      <c r="H206" s="50" t="s">
        <v>9</v>
      </c>
    </row>
    <row r="207" spans="1:10" s="334" customFormat="1" ht="17.100000000000001" customHeight="1" x14ac:dyDescent="0.25">
      <c r="A207" s="1165"/>
      <c r="B207" s="1167"/>
      <c r="C207" s="1167"/>
      <c r="D207" s="55" t="s">
        <v>78</v>
      </c>
      <c r="E207" s="52" t="s">
        <v>657</v>
      </c>
      <c r="F207" s="52" t="s">
        <v>80</v>
      </c>
      <c r="G207" s="52" t="s">
        <v>80</v>
      </c>
      <c r="H207" s="54" t="s">
        <v>13</v>
      </c>
    </row>
    <row r="208" spans="1:10" s="334" customFormat="1" ht="17.100000000000001" customHeight="1" x14ac:dyDescent="0.25">
      <c r="A208" s="63">
        <v>1</v>
      </c>
      <c r="B208" s="273" t="s">
        <v>35</v>
      </c>
      <c r="C208" s="166">
        <v>6</v>
      </c>
      <c r="D208" s="271">
        <v>2641.34</v>
      </c>
      <c r="E208" s="299">
        <v>25588726</v>
      </c>
      <c r="F208" s="228">
        <v>16632672446</v>
      </c>
      <c r="G208" s="217">
        <v>2134795320</v>
      </c>
      <c r="H208" s="63">
        <v>350</v>
      </c>
      <c r="I208" s="334">
        <f t="shared" si="27"/>
        <v>650.00002133752184</v>
      </c>
      <c r="J208" s="334">
        <v>700</v>
      </c>
    </row>
    <row r="209" spans="1:10" s="334" customFormat="1" ht="17.100000000000001" customHeight="1" x14ac:dyDescent="0.25">
      <c r="A209" s="63">
        <v>2</v>
      </c>
      <c r="B209" s="274" t="s">
        <v>48</v>
      </c>
      <c r="C209" s="63">
        <v>1</v>
      </c>
      <c r="D209" s="277">
        <v>4</v>
      </c>
      <c r="E209" s="217">
        <v>0</v>
      </c>
      <c r="F209" s="217">
        <v>0</v>
      </c>
      <c r="G209" s="217">
        <v>0</v>
      </c>
      <c r="H209" s="63">
        <v>0</v>
      </c>
    </row>
    <row r="210" spans="1:10" s="334" customFormat="1" ht="17.100000000000001" customHeight="1" x14ac:dyDescent="0.25">
      <c r="A210" s="63">
        <v>3</v>
      </c>
      <c r="B210" s="274" t="s">
        <v>36</v>
      </c>
      <c r="C210" s="63">
        <v>1</v>
      </c>
      <c r="D210" s="277">
        <v>10</v>
      </c>
      <c r="E210" s="217">
        <v>312</v>
      </c>
      <c r="F210" s="217">
        <v>250000</v>
      </c>
      <c r="G210" s="217">
        <v>5000</v>
      </c>
      <c r="H210" s="63">
        <v>0</v>
      </c>
    </row>
    <row r="211" spans="1:10" s="334" customFormat="1" ht="17.100000000000001" customHeight="1" x14ac:dyDescent="0.25">
      <c r="A211" s="1159" t="s">
        <v>158</v>
      </c>
      <c r="B211" s="1161"/>
      <c r="C211" s="484">
        <f t="shared" ref="C211:H211" si="29">SUM(C208:C210)</f>
        <v>8</v>
      </c>
      <c r="D211" s="485">
        <f t="shared" si="29"/>
        <v>2655.34</v>
      </c>
      <c r="E211" s="481">
        <f>SUM(E208:E210)</f>
        <v>25589038</v>
      </c>
      <c r="F211" s="481">
        <f t="shared" si="29"/>
        <v>16632922446</v>
      </c>
      <c r="G211" s="481">
        <f t="shared" si="29"/>
        <v>2134800320</v>
      </c>
      <c r="H211" s="484">
        <f t="shared" si="29"/>
        <v>350</v>
      </c>
    </row>
    <row r="212" spans="1:10" s="334" customFormat="1" ht="17.100000000000001" customHeight="1" x14ac:dyDescent="0.25">
      <c r="A212" s="482"/>
      <c r="B212" s="431"/>
      <c r="C212" s="349"/>
      <c r="D212" s="483"/>
      <c r="E212" s="351"/>
      <c r="F212" s="351"/>
      <c r="G212" s="351"/>
      <c r="H212" s="21"/>
    </row>
    <row r="213" spans="1:10" s="334" customFormat="1" ht="17.100000000000001" customHeight="1" x14ac:dyDescent="0.25">
      <c r="A213" s="1181" t="s">
        <v>116</v>
      </c>
      <c r="B213" s="1181"/>
      <c r="C213" s="1181"/>
      <c r="D213" s="1181"/>
      <c r="E213" s="1181"/>
      <c r="F213" s="1181"/>
      <c r="G213" s="1181"/>
      <c r="H213" s="1181"/>
    </row>
    <row r="214" spans="1:10" s="334" customFormat="1" ht="17.100000000000001" customHeight="1" x14ac:dyDescent="0.25">
      <c r="A214" s="1165" t="s">
        <v>2</v>
      </c>
      <c r="B214" s="1166" t="s">
        <v>3</v>
      </c>
      <c r="C214" s="1166" t="s">
        <v>4</v>
      </c>
      <c r="D214" s="48" t="s">
        <v>5</v>
      </c>
      <c r="E214" s="49" t="s">
        <v>6</v>
      </c>
      <c r="F214" s="50" t="s">
        <v>7</v>
      </c>
      <c r="G214" s="752" t="s">
        <v>8</v>
      </c>
      <c r="H214" s="249" t="s">
        <v>9</v>
      </c>
    </row>
    <row r="215" spans="1:10" s="334" customFormat="1" ht="17.100000000000001" customHeight="1" x14ac:dyDescent="0.25">
      <c r="A215" s="1165"/>
      <c r="B215" s="1167"/>
      <c r="C215" s="1167"/>
      <c r="D215" s="51" t="s">
        <v>78</v>
      </c>
      <c r="E215" s="52" t="s">
        <v>657</v>
      </c>
      <c r="F215" s="52" t="s">
        <v>80</v>
      </c>
      <c r="G215" s="52" t="s">
        <v>80</v>
      </c>
      <c r="H215" s="64" t="s">
        <v>13</v>
      </c>
    </row>
    <row r="216" spans="1:10" s="334" customFormat="1" ht="17.100000000000001" customHeight="1" x14ac:dyDescent="0.25">
      <c r="A216" s="63">
        <v>1</v>
      </c>
      <c r="B216" s="274" t="s">
        <v>130</v>
      </c>
      <c r="C216" s="143">
        <v>5</v>
      </c>
      <c r="D216" s="298">
        <v>24.76</v>
      </c>
      <c r="E216" s="228">
        <v>904</v>
      </c>
      <c r="F216" s="299">
        <v>3750000</v>
      </c>
      <c r="G216" s="63">
        <v>150000</v>
      </c>
      <c r="H216" s="63">
        <v>0</v>
      </c>
    </row>
    <row r="217" spans="1:10" s="334" customFormat="1" ht="17.100000000000001" customHeight="1" x14ac:dyDescent="0.25">
      <c r="A217" s="1159" t="s">
        <v>158</v>
      </c>
      <c r="B217" s="1161"/>
      <c r="C217" s="484">
        <f t="shared" ref="C217:H217" si="30">SUM(C216)</f>
        <v>5</v>
      </c>
      <c r="D217" s="485">
        <f t="shared" si="30"/>
        <v>24.76</v>
      </c>
      <c r="E217" s="480">
        <f t="shared" si="30"/>
        <v>904</v>
      </c>
      <c r="F217" s="481">
        <f t="shared" si="30"/>
        <v>3750000</v>
      </c>
      <c r="G217" s="481">
        <f t="shared" si="30"/>
        <v>150000</v>
      </c>
      <c r="H217" s="484">
        <f t="shared" si="30"/>
        <v>0</v>
      </c>
    </row>
    <row r="218" spans="1:10" s="334" customFormat="1" ht="17.100000000000001" customHeight="1" x14ac:dyDescent="0.25">
      <c r="A218" s="482"/>
      <c r="B218" s="486"/>
      <c r="C218" s="344"/>
      <c r="D218" s="425"/>
      <c r="E218" s="346"/>
      <c r="F218" s="346"/>
      <c r="G218" s="346"/>
      <c r="H218" s="344"/>
    </row>
    <row r="219" spans="1:10" s="334" customFormat="1" ht="17.100000000000001" customHeight="1" x14ac:dyDescent="0.25">
      <c r="A219" s="1163" t="s">
        <v>83</v>
      </c>
      <c r="B219" s="1163"/>
      <c r="C219" s="1163"/>
      <c r="D219" s="1163"/>
      <c r="E219" s="1163"/>
      <c r="F219" s="1163"/>
      <c r="G219" s="1163"/>
      <c r="H219" s="1163"/>
    </row>
    <row r="220" spans="1:10" s="334" customFormat="1" ht="17.100000000000001" customHeight="1" x14ac:dyDescent="0.25">
      <c r="A220" s="1165" t="s">
        <v>2</v>
      </c>
      <c r="B220" s="1166" t="s">
        <v>3</v>
      </c>
      <c r="C220" s="1166" t="s">
        <v>4</v>
      </c>
      <c r="D220" s="48" t="s">
        <v>5</v>
      </c>
      <c r="E220" s="49" t="s">
        <v>6</v>
      </c>
      <c r="F220" s="50" t="s">
        <v>7</v>
      </c>
      <c r="G220" s="50" t="s">
        <v>8</v>
      </c>
      <c r="H220" s="50" t="s">
        <v>9</v>
      </c>
    </row>
    <row r="221" spans="1:10" s="334" customFormat="1" ht="17.100000000000001" customHeight="1" x14ac:dyDescent="0.25">
      <c r="A221" s="1165"/>
      <c r="B221" s="1167"/>
      <c r="C221" s="1167"/>
      <c r="D221" s="51" t="s">
        <v>78</v>
      </c>
      <c r="E221" s="52" t="s">
        <v>657</v>
      </c>
      <c r="F221" s="56" t="s">
        <v>80</v>
      </c>
      <c r="G221" s="56" t="s">
        <v>80</v>
      </c>
      <c r="H221" s="53" t="s">
        <v>13</v>
      </c>
    </row>
    <row r="222" spans="1:10" s="334" customFormat="1" ht="17.100000000000001" customHeight="1" x14ac:dyDescent="0.2">
      <c r="A222" s="63">
        <v>1</v>
      </c>
      <c r="B222" s="63" t="s">
        <v>18</v>
      </c>
      <c r="C222" s="944">
        <v>0</v>
      </c>
      <c r="D222" s="944">
        <v>0</v>
      </c>
      <c r="E222" s="944">
        <v>91296</v>
      </c>
      <c r="F222" s="944">
        <f>E222*J222</f>
        <v>1962864000</v>
      </c>
      <c r="G222" s="944">
        <v>1622361244</v>
      </c>
      <c r="H222" s="944"/>
      <c r="I222" s="334">
        <f t="shared" si="27"/>
        <v>21500</v>
      </c>
      <c r="J222" s="334">
        <v>21500</v>
      </c>
    </row>
    <row r="223" spans="1:10" s="334" customFormat="1" ht="17.100000000000001" customHeight="1" x14ac:dyDescent="0.2">
      <c r="A223" s="63">
        <v>2</v>
      </c>
      <c r="B223" s="203" t="s">
        <v>19</v>
      </c>
      <c r="C223" s="944">
        <v>1</v>
      </c>
      <c r="D223" s="944">
        <v>3620</v>
      </c>
      <c r="E223" s="944">
        <v>197120</v>
      </c>
      <c r="F223" s="944">
        <f>E223*J223</f>
        <v>3153920000</v>
      </c>
      <c r="G223" s="944">
        <v>2442350509</v>
      </c>
      <c r="H223" s="944">
        <v>2170</v>
      </c>
      <c r="I223" s="334">
        <f t="shared" si="27"/>
        <v>16000</v>
      </c>
      <c r="J223" s="334">
        <v>16000</v>
      </c>
    </row>
    <row r="224" spans="1:10" s="334" customFormat="1" ht="17.100000000000001" customHeight="1" x14ac:dyDescent="0.2">
      <c r="A224" s="63">
        <v>3</v>
      </c>
      <c r="B224" s="63" t="s">
        <v>381</v>
      </c>
      <c r="C224" s="944">
        <v>0</v>
      </c>
      <c r="D224" s="1020">
        <v>0</v>
      </c>
      <c r="E224" s="1027">
        <v>0</v>
      </c>
      <c r="F224" s="944">
        <v>0</v>
      </c>
      <c r="G224" s="1027">
        <v>0</v>
      </c>
      <c r="H224" s="1027">
        <v>0</v>
      </c>
      <c r="I224" s="334" t="e">
        <f t="shared" si="27"/>
        <v>#DIV/0!</v>
      </c>
    </row>
    <row r="225" spans="1:11" s="334" customFormat="1" ht="17.100000000000001" customHeight="1" x14ac:dyDescent="0.2">
      <c r="A225" s="63">
        <v>4</v>
      </c>
      <c r="B225" s="63" t="s">
        <v>93</v>
      </c>
      <c r="C225" s="944">
        <v>0</v>
      </c>
      <c r="D225" s="944">
        <v>0</v>
      </c>
      <c r="E225" s="944">
        <v>103.675</v>
      </c>
      <c r="F225" s="944">
        <f>J225*E225</f>
        <v>7257250000</v>
      </c>
      <c r="G225" s="944">
        <v>442625200</v>
      </c>
      <c r="H225" s="944">
        <v>0</v>
      </c>
      <c r="I225" s="334">
        <f t="shared" si="27"/>
        <v>70000000</v>
      </c>
      <c r="J225" s="334">
        <v>70000000</v>
      </c>
    </row>
    <row r="226" spans="1:11" s="334" customFormat="1" ht="17.100000000000001" customHeight="1" x14ac:dyDescent="0.2">
      <c r="A226" s="63">
        <v>5</v>
      </c>
      <c r="B226" s="63" t="s">
        <v>42</v>
      </c>
      <c r="C226" s="944">
        <v>1</v>
      </c>
      <c r="D226" s="1020">
        <v>1370.37</v>
      </c>
      <c r="E226" s="1027">
        <v>1004653</v>
      </c>
      <c r="F226" s="944">
        <f>J226*E226</f>
        <v>2059538650</v>
      </c>
      <c r="G226" s="1027">
        <v>1504458298</v>
      </c>
      <c r="H226" s="944">
        <v>980</v>
      </c>
      <c r="I226" s="334">
        <f t="shared" si="27"/>
        <v>2050</v>
      </c>
      <c r="J226" s="334">
        <v>2050</v>
      </c>
    </row>
    <row r="227" spans="1:11" x14ac:dyDescent="0.25">
      <c r="A227" s="63">
        <v>6</v>
      </c>
      <c r="B227" s="359" t="s">
        <v>396</v>
      </c>
      <c r="C227" s="944">
        <v>1</v>
      </c>
      <c r="D227" s="944">
        <v>123.2</v>
      </c>
      <c r="E227" s="1027">
        <v>0</v>
      </c>
      <c r="F227" s="944">
        <f t="shared" ref="F227:F230" si="31">J227*E227</f>
        <v>0</v>
      </c>
      <c r="G227" s="1027">
        <v>251400</v>
      </c>
      <c r="H227" s="944">
        <v>0</v>
      </c>
      <c r="I227" s="334" t="e">
        <f t="shared" si="27"/>
        <v>#DIV/0!</v>
      </c>
      <c r="J227" s="120">
        <v>0</v>
      </c>
    </row>
    <row r="228" spans="1:11" x14ac:dyDescent="0.25">
      <c r="A228" s="63">
        <v>7</v>
      </c>
      <c r="B228" s="63" t="s">
        <v>15</v>
      </c>
      <c r="C228" s="944">
        <v>0</v>
      </c>
      <c r="D228" s="944">
        <v>0</v>
      </c>
      <c r="E228" s="944">
        <v>0</v>
      </c>
      <c r="F228" s="944">
        <f t="shared" si="31"/>
        <v>0</v>
      </c>
      <c r="G228" s="944"/>
      <c r="H228" s="944"/>
      <c r="I228" s="334" t="e">
        <f t="shared" si="27"/>
        <v>#DIV/0!</v>
      </c>
      <c r="J228" s="120">
        <v>0</v>
      </c>
    </row>
    <row r="229" spans="1:11" x14ac:dyDescent="0.25">
      <c r="A229" s="63">
        <v>8</v>
      </c>
      <c r="B229" s="284" t="s">
        <v>48</v>
      </c>
      <c r="C229" s="944">
        <v>1</v>
      </c>
      <c r="D229" s="1020">
        <v>112.5</v>
      </c>
      <c r="E229" s="1027">
        <v>0</v>
      </c>
      <c r="F229" s="944">
        <f t="shared" si="31"/>
        <v>0</v>
      </c>
      <c r="G229" s="1027">
        <v>0</v>
      </c>
      <c r="H229" s="944"/>
      <c r="I229" s="334" t="e">
        <f t="shared" si="27"/>
        <v>#DIV/0!</v>
      </c>
      <c r="J229" s="120">
        <v>0</v>
      </c>
    </row>
    <row r="230" spans="1:11" x14ac:dyDescent="0.25">
      <c r="A230" s="63">
        <v>9</v>
      </c>
      <c r="B230" s="273" t="s">
        <v>397</v>
      </c>
      <c r="C230" s="944">
        <v>2</v>
      </c>
      <c r="D230" s="1020">
        <v>918.27</v>
      </c>
      <c r="E230" s="1027">
        <v>2913083</v>
      </c>
      <c r="F230" s="944">
        <f t="shared" si="31"/>
        <v>2039158100</v>
      </c>
      <c r="G230" s="1021">
        <v>233259940</v>
      </c>
      <c r="H230" s="944">
        <v>165</v>
      </c>
      <c r="I230" s="334">
        <f t="shared" si="27"/>
        <v>700</v>
      </c>
      <c r="J230" s="120">
        <v>700</v>
      </c>
    </row>
    <row r="231" spans="1:11" x14ac:dyDescent="0.25">
      <c r="A231" s="63">
        <v>10</v>
      </c>
      <c r="B231" s="284" t="s">
        <v>33</v>
      </c>
      <c r="C231" s="944">
        <v>0</v>
      </c>
      <c r="D231" s="944">
        <v>0</v>
      </c>
      <c r="E231" s="944">
        <v>0</v>
      </c>
      <c r="F231" s="944">
        <v>0</v>
      </c>
      <c r="G231" s="944">
        <v>0</v>
      </c>
      <c r="H231" s="944">
        <v>0</v>
      </c>
      <c r="I231" s="334"/>
    </row>
    <row r="232" spans="1:11" x14ac:dyDescent="0.25">
      <c r="A232" s="63">
        <v>11</v>
      </c>
      <c r="B232" s="284" t="s">
        <v>43</v>
      </c>
      <c r="C232" s="944">
        <v>0</v>
      </c>
      <c r="D232" s="944">
        <v>0</v>
      </c>
      <c r="E232" s="944">
        <v>0</v>
      </c>
      <c r="F232" s="944">
        <v>0</v>
      </c>
      <c r="G232" s="944">
        <v>0</v>
      </c>
      <c r="H232" s="944">
        <v>0</v>
      </c>
      <c r="I232" s="334"/>
    </row>
    <row r="233" spans="1:11" s="334" customFormat="1" ht="17.100000000000001" customHeight="1" x14ac:dyDescent="0.25">
      <c r="A233" s="1175" t="s">
        <v>158</v>
      </c>
      <c r="B233" s="1176"/>
      <c r="C233" s="258">
        <f t="shared" ref="C233:H233" si="32">SUM(C222:C232)</f>
        <v>6</v>
      </c>
      <c r="D233" s="428">
        <f t="shared" si="32"/>
        <v>6144.34</v>
      </c>
      <c r="E233" s="430">
        <f t="shared" si="32"/>
        <v>4206255.6749999998</v>
      </c>
      <c r="F233" s="430">
        <f t="shared" si="32"/>
        <v>16472730750</v>
      </c>
      <c r="G233" s="430">
        <f t="shared" si="32"/>
        <v>6245306591</v>
      </c>
      <c r="H233" s="258">
        <f t="shared" si="32"/>
        <v>3315</v>
      </c>
    </row>
    <row r="234" spans="1:11" s="334" customFormat="1" ht="17.100000000000001" customHeight="1" x14ac:dyDescent="0.3">
      <c r="A234" s="46"/>
      <c r="B234" s="47"/>
      <c r="C234" s="65"/>
      <c r="D234" s="61"/>
      <c r="E234" s="127"/>
      <c r="F234" s="127"/>
      <c r="G234" s="127"/>
      <c r="H234" s="26"/>
    </row>
    <row r="235" spans="1:11" s="756" customFormat="1" ht="17.100000000000001" customHeight="1" x14ac:dyDescent="0.25">
      <c r="A235" s="46"/>
      <c r="B235" s="65"/>
      <c r="C235" s="65"/>
      <c r="D235" s="61"/>
      <c r="E235" s="127"/>
      <c r="F235" s="127"/>
      <c r="G235" s="127"/>
      <c r="H235" s="26"/>
      <c r="I235" s="334"/>
    </row>
    <row r="236" spans="1:11" s="756" customFormat="1" ht="33" customHeight="1" x14ac:dyDescent="0.25">
      <c r="A236" s="1179" t="s">
        <v>0</v>
      </c>
      <c r="B236" s="1179"/>
      <c r="C236" s="1179"/>
      <c r="D236" s="1179"/>
      <c r="E236" s="1179"/>
      <c r="F236" s="1179"/>
      <c r="G236" s="1179"/>
      <c r="H236" s="1179"/>
      <c r="I236" s="334"/>
    </row>
    <row r="237" spans="1:11" s="756" customFormat="1" ht="23.25" customHeight="1" x14ac:dyDescent="0.35">
      <c r="A237" s="1180" t="s">
        <v>177</v>
      </c>
      <c r="B237" s="1180"/>
      <c r="C237" s="1180"/>
      <c r="D237" s="1180"/>
      <c r="E237" s="1180"/>
      <c r="F237" s="1180"/>
      <c r="G237" s="1180"/>
      <c r="H237" s="1180"/>
      <c r="I237" s="334"/>
    </row>
    <row r="238" spans="1:11" s="756" customFormat="1" ht="21" customHeight="1" x14ac:dyDescent="0.3">
      <c r="A238" s="1168" t="str">
        <f>A3</f>
        <v>Financial Year 2023-24</v>
      </c>
      <c r="B238" s="1168"/>
      <c r="C238" s="1168"/>
      <c r="D238" s="1168"/>
      <c r="E238" s="1168"/>
      <c r="F238" s="1168"/>
      <c r="G238" s="1168"/>
      <c r="H238" s="1168"/>
      <c r="I238" s="334"/>
    </row>
    <row r="239" spans="1:11" s="756" customFormat="1" ht="17.100000000000001" customHeight="1" x14ac:dyDescent="0.25">
      <c r="A239" s="120"/>
      <c r="B239" s="120"/>
      <c r="C239" s="120"/>
      <c r="D239" s="757"/>
      <c r="E239" s="118"/>
      <c r="F239" s="120"/>
      <c r="G239" s="120"/>
      <c r="H239" s="120"/>
      <c r="I239" s="334"/>
      <c r="K239" s="120"/>
    </row>
    <row r="240" spans="1:11" s="756" customFormat="1" ht="17.100000000000001" customHeight="1" x14ac:dyDescent="0.25">
      <c r="A240" s="1177" t="s">
        <v>2</v>
      </c>
      <c r="B240" s="1178" t="s">
        <v>77</v>
      </c>
      <c r="C240" s="751" t="s">
        <v>4</v>
      </c>
      <c r="D240" s="578" t="s">
        <v>5</v>
      </c>
      <c r="E240" s="579" t="s">
        <v>6</v>
      </c>
      <c r="F240" s="579" t="s">
        <v>7</v>
      </c>
      <c r="G240" s="579" t="s">
        <v>8</v>
      </c>
      <c r="H240" s="751" t="s">
        <v>9</v>
      </c>
      <c r="I240" s="334"/>
      <c r="K240" s="120"/>
    </row>
    <row r="241" spans="1:16" s="756" customFormat="1" ht="17.100000000000001" customHeight="1" x14ac:dyDescent="0.25">
      <c r="A241" s="1177"/>
      <c r="B241" s="1178"/>
      <c r="C241" s="580" t="s">
        <v>178</v>
      </c>
      <c r="D241" s="581" t="s">
        <v>78</v>
      </c>
      <c r="E241" s="52" t="s">
        <v>657</v>
      </c>
      <c r="F241" s="52" t="s">
        <v>80</v>
      </c>
      <c r="G241" s="52" t="s">
        <v>80</v>
      </c>
      <c r="H241" s="582" t="s">
        <v>13</v>
      </c>
      <c r="I241" s="334"/>
      <c r="K241" s="120"/>
    </row>
    <row r="242" spans="1:16" s="756" customFormat="1" ht="17.100000000000001" customHeight="1" x14ac:dyDescent="0.25">
      <c r="A242" s="174">
        <v>1</v>
      </c>
      <c r="B242" s="174" t="s">
        <v>138</v>
      </c>
      <c r="C242" s="174">
        <f>C8</f>
        <v>1</v>
      </c>
      <c r="D242" s="174">
        <f t="shared" ref="D242:H242" si="33">D8</f>
        <v>4.3636999999999997</v>
      </c>
      <c r="E242" s="174">
        <f t="shared" si="33"/>
        <v>1050</v>
      </c>
      <c r="F242" s="174">
        <f t="shared" si="33"/>
        <v>4305000</v>
      </c>
      <c r="G242" s="174">
        <f t="shared" si="33"/>
        <v>172200</v>
      </c>
      <c r="H242" s="174">
        <f t="shared" si="33"/>
        <v>0</v>
      </c>
      <c r="I242" s="334"/>
      <c r="K242" s="120"/>
      <c r="L242" s="334"/>
      <c r="M242" s="334"/>
      <c r="N242" s="334"/>
      <c r="O242" s="334"/>
    </row>
    <row r="243" spans="1:16" s="756" customFormat="1" ht="17.100000000000001" customHeight="1" x14ac:dyDescent="0.25">
      <c r="A243" s="174">
        <v>2</v>
      </c>
      <c r="B243" s="174" t="s">
        <v>92</v>
      </c>
      <c r="C243" s="174">
        <f t="shared" ref="C243:H243" si="34">C21</f>
        <v>5</v>
      </c>
      <c r="D243" s="575">
        <f t="shared" si="34"/>
        <v>541.56999999999994</v>
      </c>
      <c r="E243" s="183">
        <f t="shared" si="34"/>
        <v>564113</v>
      </c>
      <c r="F243" s="183">
        <f t="shared" si="34"/>
        <v>9025808000</v>
      </c>
      <c r="G243" s="174">
        <f t="shared" si="34"/>
        <v>781772993</v>
      </c>
      <c r="H243" s="174">
        <f t="shared" si="34"/>
        <v>456</v>
      </c>
      <c r="I243" s="334"/>
      <c r="K243" s="120"/>
      <c r="L243" s="120"/>
      <c r="M243" s="120"/>
      <c r="N243" s="120"/>
      <c r="O243" s="120"/>
      <c r="P243" s="334"/>
    </row>
    <row r="244" spans="1:16" s="756" customFormat="1" ht="17.100000000000001" customHeight="1" x14ac:dyDescent="0.25">
      <c r="A244" s="174">
        <v>3</v>
      </c>
      <c r="B244" s="174" t="s">
        <v>86</v>
      </c>
      <c r="C244" s="174">
        <f t="shared" ref="C244:H244" si="35">C27</f>
        <v>0</v>
      </c>
      <c r="D244" s="575">
        <f t="shared" si="35"/>
        <v>0</v>
      </c>
      <c r="E244" s="183">
        <f t="shared" si="35"/>
        <v>0</v>
      </c>
      <c r="F244" s="183">
        <f t="shared" si="35"/>
        <v>0</v>
      </c>
      <c r="G244" s="174">
        <f t="shared" si="35"/>
        <v>0</v>
      </c>
      <c r="H244" s="174">
        <f t="shared" si="35"/>
        <v>0</v>
      </c>
      <c r="I244" s="334"/>
      <c r="K244" s="120"/>
      <c r="L244" s="120"/>
      <c r="M244" s="120"/>
      <c r="N244" s="120"/>
      <c r="O244" s="120"/>
      <c r="P244" s="120"/>
    </row>
    <row r="245" spans="1:16" s="756" customFormat="1" ht="17.100000000000001" customHeight="1" x14ac:dyDescent="0.25">
      <c r="A245" s="174">
        <v>4</v>
      </c>
      <c r="B245" s="174" t="s">
        <v>150</v>
      </c>
      <c r="C245" s="174">
        <f t="shared" ref="C245:H245" si="36">C34</f>
        <v>2</v>
      </c>
      <c r="D245" s="575">
        <f t="shared" si="36"/>
        <v>84.717999999999989</v>
      </c>
      <c r="E245" s="183">
        <f t="shared" si="36"/>
        <v>1348994.28</v>
      </c>
      <c r="F245" s="183">
        <f t="shared" si="36"/>
        <v>879689365</v>
      </c>
      <c r="G245" s="174">
        <f t="shared" si="36"/>
        <v>108266640</v>
      </c>
      <c r="H245" s="174">
        <f t="shared" si="36"/>
        <v>145</v>
      </c>
      <c r="I245" s="334"/>
      <c r="K245" s="120"/>
      <c r="L245" s="120"/>
      <c r="M245" s="120"/>
      <c r="N245" s="120"/>
      <c r="O245" s="120"/>
      <c r="P245" s="120"/>
    </row>
    <row r="246" spans="1:16" s="756" customFormat="1" ht="17.100000000000001" customHeight="1" x14ac:dyDescent="0.25">
      <c r="A246" s="174">
        <v>5</v>
      </c>
      <c r="B246" s="174" t="s">
        <v>151</v>
      </c>
      <c r="C246" s="174">
        <f t="shared" ref="C246:H246" si="37">C42</f>
        <v>15</v>
      </c>
      <c r="D246" s="575">
        <f t="shared" si="37"/>
        <v>11921.47</v>
      </c>
      <c r="E246" s="183">
        <f t="shared" si="37"/>
        <v>7323898.5800000001</v>
      </c>
      <c r="F246" s="183">
        <f t="shared" si="37"/>
        <v>16796200701</v>
      </c>
      <c r="G246" s="174">
        <f t="shared" si="37"/>
        <v>1137495026</v>
      </c>
      <c r="H246" s="174">
        <f t="shared" si="37"/>
        <v>144</v>
      </c>
      <c r="I246" s="334"/>
      <c r="K246" s="120"/>
      <c r="L246" s="120"/>
      <c r="M246" s="120"/>
      <c r="N246" s="120"/>
      <c r="O246" s="120"/>
      <c r="P246" s="120"/>
    </row>
    <row r="247" spans="1:16" s="756" customFormat="1" ht="17.100000000000001" customHeight="1" x14ac:dyDescent="0.25">
      <c r="A247" s="174">
        <v>6</v>
      </c>
      <c r="B247" s="174" t="s">
        <v>191</v>
      </c>
      <c r="C247" s="174">
        <f t="shared" ref="C247:H247" si="38">C51</f>
        <v>9</v>
      </c>
      <c r="D247" s="576">
        <f t="shared" si="38"/>
        <v>1373.24</v>
      </c>
      <c r="E247" s="174">
        <f t="shared" si="38"/>
        <v>2893835</v>
      </c>
      <c r="F247" s="174">
        <f t="shared" si="38"/>
        <v>2182178138</v>
      </c>
      <c r="G247" s="174">
        <f t="shared" si="38"/>
        <v>232181488</v>
      </c>
      <c r="H247" s="174">
        <f t="shared" si="38"/>
        <v>124</v>
      </c>
      <c r="I247" s="334"/>
      <c r="K247" s="120"/>
      <c r="L247" s="120"/>
      <c r="M247" s="120"/>
      <c r="N247" s="120"/>
      <c r="O247" s="120"/>
      <c r="P247" s="120"/>
    </row>
    <row r="248" spans="1:16" s="756" customFormat="1" ht="17.100000000000001" customHeight="1" x14ac:dyDescent="0.25">
      <c r="A248" s="174">
        <v>7</v>
      </c>
      <c r="B248" s="174" t="s">
        <v>81</v>
      </c>
      <c r="C248" s="174">
        <f t="shared" ref="C248:H248" si="39">C65</f>
        <v>11</v>
      </c>
      <c r="D248" s="575">
        <f t="shared" si="39"/>
        <v>3364.6220000000003</v>
      </c>
      <c r="E248" s="183">
        <f t="shared" si="39"/>
        <v>4568332</v>
      </c>
      <c r="F248" s="183">
        <f t="shared" si="39"/>
        <v>39937042535</v>
      </c>
      <c r="G248" s="174">
        <f t="shared" si="39"/>
        <v>13407796170</v>
      </c>
      <c r="H248" s="174">
        <f t="shared" si="39"/>
        <v>4740</v>
      </c>
      <c r="I248" s="334"/>
      <c r="K248" s="120"/>
      <c r="L248" s="120"/>
      <c r="M248" s="120"/>
      <c r="N248" s="120"/>
      <c r="O248" s="120"/>
      <c r="P248" s="120"/>
    </row>
    <row r="249" spans="1:16" s="756" customFormat="1" ht="17.100000000000001" customHeight="1" x14ac:dyDescent="0.25">
      <c r="A249" s="174">
        <v>8</v>
      </c>
      <c r="B249" s="174" t="s">
        <v>96</v>
      </c>
      <c r="C249" s="174">
        <f t="shared" ref="C249:H249" si="40">C72</f>
        <v>3</v>
      </c>
      <c r="D249" s="575">
        <f t="shared" si="40"/>
        <v>2357.25</v>
      </c>
      <c r="E249" s="183">
        <f t="shared" si="40"/>
        <v>3024322</v>
      </c>
      <c r="F249" s="183">
        <f t="shared" si="40"/>
        <v>6046856060</v>
      </c>
      <c r="G249" s="183">
        <f t="shared" si="40"/>
        <v>411726221</v>
      </c>
      <c r="H249" s="174">
        <f t="shared" si="40"/>
        <v>230</v>
      </c>
      <c r="I249" s="334"/>
      <c r="J249" s="334"/>
      <c r="K249" s="120"/>
      <c r="L249" s="120"/>
      <c r="M249" s="120"/>
      <c r="N249" s="120"/>
      <c r="O249" s="120"/>
      <c r="P249" s="120"/>
    </row>
    <row r="250" spans="1:16" s="756" customFormat="1" ht="17.100000000000001" customHeight="1" x14ac:dyDescent="0.25">
      <c r="A250" s="174">
        <v>9</v>
      </c>
      <c r="B250" s="174" t="s">
        <v>104</v>
      </c>
      <c r="C250" s="174">
        <f t="shared" ref="C250:H250" si="41">C78</f>
        <v>2</v>
      </c>
      <c r="D250" s="575">
        <f t="shared" si="41"/>
        <v>1359.492</v>
      </c>
      <c r="E250" s="183">
        <f t="shared" si="41"/>
        <v>13230123</v>
      </c>
      <c r="F250" s="183">
        <f t="shared" si="41"/>
        <v>9591839175</v>
      </c>
      <c r="G250" s="174">
        <f t="shared" si="41"/>
        <v>1081756030</v>
      </c>
      <c r="H250" s="174">
        <f t="shared" si="41"/>
        <v>517</v>
      </c>
      <c r="I250" s="334"/>
      <c r="J250" s="118">
        <f>+G242+G245+G251+G270+G264</f>
        <v>15113482198</v>
      </c>
      <c r="K250" s="120"/>
      <c r="L250" s="120"/>
      <c r="M250" s="120"/>
      <c r="N250" s="120"/>
      <c r="O250" s="120"/>
      <c r="P250" s="120"/>
    </row>
    <row r="251" spans="1:16" s="756" customFormat="1" ht="17.100000000000001" customHeight="1" x14ac:dyDescent="0.25">
      <c r="A251" s="174">
        <v>10</v>
      </c>
      <c r="B251" s="174" t="s">
        <v>153</v>
      </c>
      <c r="C251" s="174">
        <f t="shared" ref="C251:H251" si="42">C90</f>
        <v>1</v>
      </c>
      <c r="D251" s="575">
        <f t="shared" si="42"/>
        <v>5</v>
      </c>
      <c r="E251" s="183">
        <f t="shared" si="42"/>
        <v>0</v>
      </c>
      <c r="F251" s="183">
        <f t="shared" si="42"/>
        <v>0</v>
      </c>
      <c r="G251" s="174">
        <f t="shared" si="42"/>
        <v>30767</v>
      </c>
      <c r="H251" s="174">
        <f t="shared" si="42"/>
        <v>0</v>
      </c>
      <c r="I251" s="334"/>
      <c r="J251" s="120"/>
      <c r="K251" s="120"/>
      <c r="L251" s="120"/>
      <c r="M251" s="120"/>
      <c r="N251" s="120"/>
      <c r="O251" s="120"/>
      <c r="P251" s="120"/>
    </row>
    <row r="252" spans="1:16" s="756" customFormat="1" ht="17.100000000000001" customHeight="1" x14ac:dyDescent="0.25">
      <c r="A252" s="174">
        <v>11</v>
      </c>
      <c r="B252" s="174" t="s">
        <v>110</v>
      </c>
      <c r="C252" s="174">
        <f t="shared" ref="C252:H252" si="43">C84</f>
        <v>1</v>
      </c>
      <c r="D252" s="174">
        <f t="shared" si="43"/>
        <v>5</v>
      </c>
      <c r="E252" s="174">
        <f t="shared" si="43"/>
        <v>0</v>
      </c>
      <c r="F252" s="174">
        <f t="shared" si="43"/>
        <v>0</v>
      </c>
      <c r="G252" s="174">
        <f t="shared" si="43"/>
        <v>0</v>
      </c>
      <c r="H252" s="174">
        <f t="shared" si="43"/>
        <v>0</v>
      </c>
      <c r="I252" s="334"/>
      <c r="J252" s="120">
        <f>+G268+G267+G256+G257+G246</f>
        <v>4298800467</v>
      </c>
      <c r="K252" s="120"/>
      <c r="L252" s="120"/>
      <c r="M252" s="120"/>
      <c r="N252" s="120"/>
      <c r="O252" s="120"/>
      <c r="P252" s="120"/>
    </row>
    <row r="253" spans="1:16" s="756" customFormat="1" ht="17.100000000000001" customHeight="1" x14ac:dyDescent="0.25">
      <c r="A253" s="174">
        <v>12</v>
      </c>
      <c r="B253" s="174" t="s">
        <v>105</v>
      </c>
      <c r="C253" s="174">
        <f t="shared" ref="C253:H253" si="44">C96</f>
        <v>4</v>
      </c>
      <c r="D253" s="575">
        <f t="shared" si="44"/>
        <v>1233.5</v>
      </c>
      <c r="E253" s="183">
        <f t="shared" si="44"/>
        <v>1107527.6100000001</v>
      </c>
      <c r="F253" s="183">
        <f>F95</f>
        <v>886022088.00000012</v>
      </c>
      <c r="G253" s="174">
        <f t="shared" si="44"/>
        <v>88602209</v>
      </c>
      <c r="H253" s="174">
        <f t="shared" si="44"/>
        <v>45</v>
      </c>
      <c r="I253" s="334"/>
      <c r="J253" s="120"/>
      <c r="K253" s="120"/>
      <c r="L253" s="120"/>
      <c r="M253" s="120"/>
      <c r="N253" s="120"/>
      <c r="O253" s="120"/>
      <c r="P253" s="120"/>
    </row>
    <row r="254" spans="1:16" s="756" customFormat="1" ht="17.100000000000001" customHeight="1" x14ac:dyDescent="0.25">
      <c r="A254" s="174">
        <v>13</v>
      </c>
      <c r="B254" s="174" t="s">
        <v>87</v>
      </c>
      <c r="C254" s="174">
        <f>C102</f>
        <v>2</v>
      </c>
      <c r="D254" s="174">
        <f t="shared" ref="D254:H254" si="45">D102</f>
        <v>134.09</v>
      </c>
      <c r="E254" s="174">
        <f t="shared" si="45"/>
        <v>24006.400000000001</v>
      </c>
      <c r="F254" s="174">
        <f t="shared" si="45"/>
        <v>96424600</v>
      </c>
      <c r="G254" s="174">
        <f t="shared" si="45"/>
        <v>2202581</v>
      </c>
      <c r="H254" s="174">
        <f t="shared" si="45"/>
        <v>25</v>
      </c>
      <c r="I254" s="334"/>
      <c r="J254" s="120"/>
      <c r="K254" s="120"/>
      <c r="L254" s="120"/>
      <c r="M254" s="120"/>
      <c r="N254" s="120"/>
      <c r="O254" s="120"/>
      <c r="P254" s="120"/>
    </row>
    <row r="255" spans="1:16" s="756" customFormat="1" ht="17.100000000000001" customHeight="1" x14ac:dyDescent="0.25">
      <c r="A255" s="174">
        <v>14</v>
      </c>
      <c r="B255" s="174" t="s">
        <v>154</v>
      </c>
      <c r="C255" s="174">
        <f t="shared" ref="C255:H255" si="46">C112</f>
        <v>13</v>
      </c>
      <c r="D255" s="575">
        <f t="shared" si="46"/>
        <v>2903.5050000000001</v>
      </c>
      <c r="E255" s="183">
        <f t="shared" si="46"/>
        <v>3304455</v>
      </c>
      <c r="F255" s="183">
        <f t="shared" si="46"/>
        <v>2096370998</v>
      </c>
      <c r="G255" s="174">
        <f t="shared" si="46"/>
        <v>338924732</v>
      </c>
      <c r="H255" s="174">
        <f t="shared" si="46"/>
        <v>570</v>
      </c>
      <c r="I255" s="334"/>
      <c r="J255" s="120"/>
      <c r="K255" s="120"/>
      <c r="L255" s="120"/>
      <c r="M255" s="120"/>
      <c r="N255" s="120"/>
      <c r="O255" s="120"/>
      <c r="P255" s="120"/>
    </row>
    <row r="256" spans="1:16" s="756" customFormat="1" ht="17.100000000000001" customHeight="1" x14ac:dyDescent="0.25">
      <c r="A256" s="174">
        <v>15</v>
      </c>
      <c r="B256" s="174" t="s">
        <v>97</v>
      </c>
      <c r="C256" s="174">
        <f t="shared" ref="C256:H256" si="47">C118</f>
        <v>5</v>
      </c>
      <c r="D256" s="575">
        <f t="shared" si="47"/>
        <v>1075</v>
      </c>
      <c r="E256" s="183">
        <f t="shared" si="47"/>
        <v>0</v>
      </c>
      <c r="F256" s="183">
        <f t="shared" si="47"/>
        <v>0</v>
      </c>
      <c r="G256" s="174">
        <f t="shared" si="47"/>
        <v>0</v>
      </c>
      <c r="H256" s="174">
        <f t="shared" si="47"/>
        <v>0</v>
      </c>
      <c r="I256" s="334"/>
      <c r="J256" s="120"/>
      <c r="K256" s="120"/>
      <c r="L256" s="120"/>
      <c r="M256" s="120"/>
      <c r="N256" s="120"/>
      <c r="O256" s="120"/>
      <c r="P256" s="120"/>
    </row>
    <row r="257" spans="1:17" s="756" customFormat="1" ht="17.100000000000001" customHeight="1" x14ac:dyDescent="0.25">
      <c r="A257" s="174">
        <v>16</v>
      </c>
      <c r="B257" s="174" t="s">
        <v>118</v>
      </c>
      <c r="C257" s="174">
        <f>C133</f>
        <v>1</v>
      </c>
      <c r="D257" s="174">
        <f t="shared" ref="D257:H257" si="48">D133</f>
        <v>195.7064</v>
      </c>
      <c r="E257" s="174">
        <f t="shared" si="48"/>
        <v>0</v>
      </c>
      <c r="F257" s="174">
        <f t="shared" si="48"/>
        <v>0</v>
      </c>
      <c r="G257" s="174">
        <f t="shared" si="48"/>
        <v>587121</v>
      </c>
      <c r="H257" s="174">
        <f t="shared" si="48"/>
        <v>0</v>
      </c>
      <c r="I257" s="334"/>
      <c r="J257" s="120"/>
      <c r="K257" s="120"/>
      <c r="L257" s="120"/>
      <c r="M257" s="120"/>
      <c r="N257" s="120"/>
      <c r="O257" s="120"/>
      <c r="P257" s="120"/>
    </row>
    <row r="258" spans="1:17" s="756" customFormat="1" ht="17.100000000000001" customHeight="1" x14ac:dyDescent="0.25">
      <c r="A258" s="174">
        <v>17</v>
      </c>
      <c r="B258" s="174" t="s">
        <v>84</v>
      </c>
      <c r="C258" s="174">
        <f t="shared" ref="C258:H258" si="49">C126</f>
        <v>10</v>
      </c>
      <c r="D258" s="575">
        <f t="shared" si="49"/>
        <v>1417.22</v>
      </c>
      <c r="E258" s="183">
        <f t="shared" si="49"/>
        <v>2069017</v>
      </c>
      <c r="F258" s="183">
        <f t="shared" si="49"/>
        <v>3924550830</v>
      </c>
      <c r="G258" s="183">
        <f t="shared" si="49"/>
        <v>582719000</v>
      </c>
      <c r="H258" s="174">
        <f t="shared" si="49"/>
        <v>1838</v>
      </c>
      <c r="I258" s="334"/>
      <c r="J258" s="120"/>
      <c r="K258" s="120"/>
      <c r="L258" s="120"/>
      <c r="M258" s="120"/>
      <c r="N258" s="120"/>
      <c r="O258" s="120"/>
      <c r="P258" s="120"/>
    </row>
    <row r="259" spans="1:17" s="756" customFormat="1" ht="17.100000000000001" customHeight="1" x14ac:dyDescent="0.25">
      <c r="A259" s="174">
        <v>18</v>
      </c>
      <c r="B259" s="174" t="s">
        <v>119</v>
      </c>
      <c r="C259" s="174">
        <f t="shared" ref="C259:H259" si="50">C140</f>
        <v>1</v>
      </c>
      <c r="D259" s="575">
        <f t="shared" si="50"/>
        <v>1516.8</v>
      </c>
      <c r="E259" s="183">
        <f t="shared" si="50"/>
        <v>885550</v>
      </c>
      <c r="F259" s="183">
        <f t="shared" si="50"/>
        <v>708440000</v>
      </c>
      <c r="G259" s="174">
        <f t="shared" si="50"/>
        <v>72000000</v>
      </c>
      <c r="H259" s="174">
        <f t="shared" si="50"/>
        <v>40</v>
      </c>
      <c r="I259" s="334"/>
      <c r="J259" s="120"/>
      <c r="K259" s="120"/>
      <c r="L259" s="120"/>
      <c r="M259" s="120"/>
      <c r="N259" s="120"/>
      <c r="O259" s="120"/>
      <c r="P259" s="120"/>
      <c r="Q259" s="334"/>
    </row>
    <row r="260" spans="1:17" s="756" customFormat="1" ht="17.100000000000001" customHeight="1" x14ac:dyDescent="0.25">
      <c r="A260" s="174">
        <v>19</v>
      </c>
      <c r="B260" s="174" t="s">
        <v>88</v>
      </c>
      <c r="C260" s="174">
        <f t="shared" ref="C260:H260" si="51">C150</f>
        <v>6</v>
      </c>
      <c r="D260" s="575">
        <f t="shared" si="51"/>
        <v>913.13</v>
      </c>
      <c r="E260" s="183">
        <f t="shared" si="51"/>
        <v>4688424</v>
      </c>
      <c r="F260" s="183">
        <f t="shared" si="51"/>
        <v>2828480400</v>
      </c>
      <c r="G260" s="183">
        <f>G150</f>
        <v>375004199</v>
      </c>
      <c r="H260" s="174">
        <f t="shared" si="51"/>
        <v>300</v>
      </c>
      <c r="I260" s="334"/>
      <c r="J260" s="120"/>
      <c r="K260" s="120"/>
      <c r="L260" s="120"/>
      <c r="M260" s="120"/>
      <c r="N260" s="120"/>
      <c r="O260" s="120"/>
      <c r="P260" s="120"/>
      <c r="Q260" s="120"/>
    </row>
    <row r="261" spans="1:17" s="756" customFormat="1" ht="17.100000000000001" customHeight="1" x14ac:dyDescent="0.25">
      <c r="A261" s="174">
        <v>20</v>
      </c>
      <c r="B261" s="174" t="s">
        <v>107</v>
      </c>
      <c r="C261" s="174">
        <f t="shared" ref="C261:H261" si="52">C157</f>
        <v>6</v>
      </c>
      <c r="D261" s="575">
        <f t="shared" si="52"/>
        <v>3249.12</v>
      </c>
      <c r="E261" s="183">
        <f t="shared" si="52"/>
        <v>5060871.5</v>
      </c>
      <c r="F261" s="183">
        <f t="shared" si="52"/>
        <v>3554838575</v>
      </c>
      <c r="G261" s="174">
        <f t="shared" si="52"/>
        <v>406145765</v>
      </c>
      <c r="H261" s="174">
        <f t="shared" si="52"/>
        <v>600</v>
      </c>
      <c r="I261" s="334"/>
      <c r="J261" s="120"/>
      <c r="K261" s="120"/>
      <c r="L261" s="120"/>
      <c r="M261" s="120"/>
      <c r="N261" s="120"/>
      <c r="O261" s="120"/>
      <c r="P261" s="120"/>
      <c r="Q261" s="120"/>
    </row>
    <row r="262" spans="1:17" s="756" customFormat="1" ht="17.100000000000001" customHeight="1" x14ac:dyDescent="0.25">
      <c r="A262" s="174">
        <v>21</v>
      </c>
      <c r="B262" s="174" t="s">
        <v>89</v>
      </c>
      <c r="C262" s="174">
        <f t="shared" ref="C262:H262" si="53">C170</f>
        <v>3</v>
      </c>
      <c r="D262" s="575">
        <f t="shared" si="53"/>
        <v>229.03</v>
      </c>
      <c r="E262" s="183">
        <f t="shared" si="53"/>
        <v>143379</v>
      </c>
      <c r="F262" s="183">
        <f t="shared" si="53"/>
        <v>659543400</v>
      </c>
      <c r="G262" s="183">
        <f t="shared" si="53"/>
        <v>13537417</v>
      </c>
      <c r="H262" s="174">
        <f t="shared" si="53"/>
        <v>50</v>
      </c>
      <c r="I262" s="334"/>
      <c r="J262" s="120"/>
      <c r="K262" s="120"/>
      <c r="L262" s="120"/>
      <c r="M262" s="120"/>
      <c r="N262" s="120"/>
      <c r="O262" s="120"/>
      <c r="P262" s="120"/>
      <c r="Q262" s="120"/>
    </row>
    <row r="263" spans="1:17" s="756" customFormat="1" ht="17.100000000000001" customHeight="1" x14ac:dyDescent="0.25">
      <c r="A263" s="174">
        <v>22</v>
      </c>
      <c r="B263" s="174" t="s">
        <v>108</v>
      </c>
      <c r="C263" s="174">
        <f t="shared" ref="C263:H263" si="54">C163</f>
        <v>10</v>
      </c>
      <c r="D263" s="575">
        <f t="shared" si="54"/>
        <v>5190.2</v>
      </c>
      <c r="E263" s="183">
        <f t="shared" si="54"/>
        <v>24642439</v>
      </c>
      <c r="F263" s="183">
        <f t="shared" si="54"/>
        <v>16633646359</v>
      </c>
      <c r="G263" s="174">
        <f t="shared" si="54"/>
        <v>1992936402</v>
      </c>
      <c r="H263" s="174">
        <f t="shared" si="54"/>
        <v>600</v>
      </c>
      <c r="I263" s="334"/>
      <c r="J263" s="120"/>
      <c r="K263" s="120"/>
      <c r="L263" s="120"/>
      <c r="M263" s="120"/>
      <c r="N263" s="120"/>
      <c r="O263" s="120"/>
      <c r="P263" s="120"/>
      <c r="Q263" s="120"/>
    </row>
    <row r="264" spans="1:17" s="334" customFormat="1" ht="17.100000000000001" customHeight="1" x14ac:dyDescent="0.25">
      <c r="A264" s="174">
        <v>23</v>
      </c>
      <c r="B264" s="174" t="s">
        <v>90</v>
      </c>
      <c r="C264" s="174">
        <f t="shared" ref="C264:H264" si="55">C180</f>
        <v>3</v>
      </c>
      <c r="D264" s="575">
        <f t="shared" si="55"/>
        <v>1725.8225</v>
      </c>
      <c r="E264" s="183">
        <f t="shared" si="55"/>
        <v>1064571.56</v>
      </c>
      <c r="F264" s="183">
        <f t="shared" si="55"/>
        <v>54178044999.999992</v>
      </c>
      <c r="G264" s="174">
        <f t="shared" si="55"/>
        <v>8759706000</v>
      </c>
      <c r="H264" s="174">
        <f t="shared" si="55"/>
        <v>22810</v>
      </c>
      <c r="J264" s="120"/>
      <c r="K264" s="120"/>
      <c r="L264" s="120"/>
      <c r="M264" s="120"/>
      <c r="N264" s="120"/>
      <c r="O264" s="120"/>
      <c r="P264" s="120"/>
      <c r="Q264" s="120"/>
    </row>
    <row r="265" spans="1:17" x14ac:dyDescent="0.25">
      <c r="A265" s="174">
        <v>24</v>
      </c>
      <c r="B265" s="174" t="s">
        <v>120</v>
      </c>
      <c r="C265" s="174">
        <f t="shared" ref="C265:H265" si="56">C186</f>
        <v>1</v>
      </c>
      <c r="D265" s="575">
        <f t="shared" si="56"/>
        <v>895.42</v>
      </c>
      <c r="E265" s="183">
        <f t="shared" si="56"/>
        <v>3278226</v>
      </c>
      <c r="F265" s="183">
        <f t="shared" si="56"/>
        <v>2294758200</v>
      </c>
      <c r="G265" s="174">
        <f t="shared" si="56"/>
        <v>256000000</v>
      </c>
      <c r="H265" s="174">
        <f t="shared" si="56"/>
        <v>168</v>
      </c>
      <c r="I265" s="334"/>
    </row>
    <row r="266" spans="1:17" x14ac:dyDescent="0.25">
      <c r="A266" s="174">
        <v>25</v>
      </c>
      <c r="B266" s="174" t="s">
        <v>376</v>
      </c>
      <c r="C266" s="174">
        <f t="shared" ref="C266:H266" si="57">C194</f>
        <v>6</v>
      </c>
      <c r="D266" s="576">
        <f t="shared" si="57"/>
        <v>37.200000000000003</v>
      </c>
      <c r="E266" s="174">
        <f t="shared" si="57"/>
        <v>0</v>
      </c>
      <c r="F266" s="174">
        <f t="shared" si="57"/>
        <v>0</v>
      </c>
      <c r="G266" s="174">
        <f t="shared" si="57"/>
        <v>0</v>
      </c>
      <c r="H266" s="174">
        <f t="shared" si="57"/>
        <v>0</v>
      </c>
      <c r="I266" s="334"/>
    </row>
    <row r="267" spans="1:17" x14ac:dyDescent="0.25">
      <c r="A267" s="174">
        <v>26</v>
      </c>
      <c r="B267" s="174" t="s">
        <v>91</v>
      </c>
      <c r="C267" s="174">
        <f t="shared" ref="C267:H267" si="58">C203</f>
        <v>8</v>
      </c>
      <c r="D267" s="575">
        <f t="shared" si="58"/>
        <v>1404.1100000000001</v>
      </c>
      <c r="E267" s="183">
        <f t="shared" si="58"/>
        <v>12794105</v>
      </c>
      <c r="F267" s="183">
        <f t="shared" si="58"/>
        <v>9018036863</v>
      </c>
      <c r="G267" s="174">
        <f t="shared" si="58"/>
        <v>1025918000</v>
      </c>
      <c r="H267" s="174">
        <f t="shared" si="58"/>
        <v>970</v>
      </c>
      <c r="I267" s="334"/>
    </row>
    <row r="268" spans="1:17" x14ac:dyDescent="0.25">
      <c r="A268" s="174">
        <v>27</v>
      </c>
      <c r="B268" s="174" t="s">
        <v>95</v>
      </c>
      <c r="C268" s="174">
        <f t="shared" ref="C268:H268" si="59">C211</f>
        <v>8</v>
      </c>
      <c r="D268" s="575">
        <f t="shared" si="59"/>
        <v>2655.34</v>
      </c>
      <c r="E268" s="183">
        <f t="shared" si="59"/>
        <v>25589038</v>
      </c>
      <c r="F268" s="183">
        <f t="shared" si="59"/>
        <v>16632922446</v>
      </c>
      <c r="G268" s="174">
        <f t="shared" si="59"/>
        <v>2134800320</v>
      </c>
      <c r="H268" s="174">
        <f t="shared" si="59"/>
        <v>350</v>
      </c>
      <c r="I268" s="334"/>
    </row>
    <row r="269" spans="1:17" x14ac:dyDescent="0.25">
      <c r="A269" s="174">
        <v>28</v>
      </c>
      <c r="B269" s="180" t="s">
        <v>116</v>
      </c>
      <c r="C269" s="577">
        <f t="shared" ref="C269:H269" si="60">C217</f>
        <v>5</v>
      </c>
      <c r="D269" s="575">
        <f t="shared" si="60"/>
        <v>24.76</v>
      </c>
      <c r="E269" s="183">
        <f t="shared" si="60"/>
        <v>904</v>
      </c>
      <c r="F269" s="183">
        <f t="shared" si="60"/>
        <v>3750000</v>
      </c>
      <c r="G269" s="174">
        <f t="shared" si="60"/>
        <v>150000</v>
      </c>
      <c r="H269" s="174">
        <f t="shared" si="60"/>
        <v>0</v>
      </c>
      <c r="I269" s="334"/>
    </row>
    <row r="270" spans="1:17" x14ac:dyDescent="0.25">
      <c r="A270" s="174">
        <v>29</v>
      </c>
      <c r="B270" s="180" t="s">
        <v>83</v>
      </c>
      <c r="C270" s="577">
        <f>C233</f>
        <v>6</v>
      </c>
      <c r="D270" s="575">
        <f t="shared" ref="D270" si="61">D233</f>
        <v>6144.34</v>
      </c>
      <c r="E270" s="183">
        <f>E233</f>
        <v>4206255.6749999998</v>
      </c>
      <c r="F270" s="183">
        <f t="shared" ref="F270:H270" si="62">F233</f>
        <v>16472730750</v>
      </c>
      <c r="G270" s="183">
        <f t="shared" si="62"/>
        <v>6245306591</v>
      </c>
      <c r="H270" s="183">
        <f t="shared" si="62"/>
        <v>3315</v>
      </c>
      <c r="I270" s="334"/>
    </row>
    <row r="271" spans="1:17" x14ac:dyDescent="0.25">
      <c r="A271" s="1157" t="s">
        <v>158</v>
      </c>
      <c r="B271" s="1158"/>
      <c r="C271" s="570">
        <f t="shared" ref="C271:H271" si="63">SUM(C242:C270)</f>
        <v>148</v>
      </c>
      <c r="D271" s="571">
        <f t="shared" si="63"/>
        <v>51961.0196</v>
      </c>
      <c r="E271" s="572">
        <f>SUM(E242:E270)</f>
        <v>121813437.605</v>
      </c>
      <c r="F271" s="682">
        <f>SUM(F242:F270)</f>
        <v>214452479483</v>
      </c>
      <c r="G271" s="573">
        <f>SUM(G242:G270)</f>
        <v>39455737872</v>
      </c>
      <c r="H271" s="574">
        <f t="shared" si="63"/>
        <v>38037</v>
      </c>
      <c r="I271" s="334"/>
    </row>
    <row r="272" spans="1:17" ht="15.75" x14ac:dyDescent="0.25">
      <c r="A272" s="46"/>
      <c r="B272" s="65"/>
      <c r="C272" s="65"/>
      <c r="D272" s="61"/>
      <c r="E272" s="127"/>
      <c r="F272" s="127"/>
      <c r="G272" s="127"/>
      <c r="H272" s="26"/>
    </row>
    <row r="273" spans="1:8" ht="15.75" x14ac:dyDescent="0.25">
      <c r="A273" s="46"/>
      <c r="B273" s="65"/>
      <c r="C273" s="65"/>
      <c r="D273" s="61"/>
      <c r="E273" s="127"/>
      <c r="F273" s="127"/>
      <c r="G273" s="127"/>
      <c r="H273" s="26"/>
    </row>
    <row r="274" spans="1:8" ht="15.75" x14ac:dyDescent="0.25">
      <c r="A274" s="62"/>
      <c r="B274" s="15" t="s">
        <v>179</v>
      </c>
      <c r="C274" s="14">
        <f>'Major Minerals'!C250</f>
        <v>148</v>
      </c>
      <c r="D274" s="683">
        <f>'Major Minerals'!D250</f>
        <v>51961.019599999992</v>
      </c>
      <c r="E274" s="14">
        <f>'Major Minerals'!E250</f>
        <v>121813437.605</v>
      </c>
      <c r="F274" s="683">
        <f>'Major Minerals'!F250</f>
        <v>214452479483</v>
      </c>
      <c r="G274" s="14">
        <f>'Major Minerals'!G250</f>
        <v>39455737872</v>
      </c>
      <c r="H274" s="14">
        <f>'Major Minerals'!H250</f>
        <v>38037</v>
      </c>
    </row>
    <row r="275" spans="1:8" ht="15.75" x14ac:dyDescent="0.25">
      <c r="A275" s="46"/>
      <c r="B275" s="65"/>
      <c r="C275" s="65"/>
      <c r="D275" s="61"/>
      <c r="E275" s="127"/>
      <c r="F275" s="127"/>
      <c r="G275" s="127"/>
      <c r="H275" s="26"/>
    </row>
    <row r="276" spans="1:8" ht="15.75" x14ac:dyDescent="0.25">
      <c r="A276" s="46"/>
      <c r="B276" s="65"/>
      <c r="C276" s="65"/>
      <c r="D276" s="61"/>
      <c r="E276" s="127"/>
      <c r="F276" s="127"/>
      <c r="G276" s="127"/>
      <c r="H276" s="26"/>
    </row>
    <row r="277" spans="1:8" ht="15.75" x14ac:dyDescent="0.25">
      <c r="A277" s="62"/>
      <c r="B277" s="14"/>
      <c r="C277" s="14">
        <f>C271-C274</f>
        <v>0</v>
      </c>
      <c r="D277" s="14">
        <f t="shared" ref="D277:H277" si="64">D271-D274</f>
        <v>0</v>
      </c>
      <c r="E277" s="20">
        <f>E271-E274</f>
        <v>0</v>
      </c>
      <c r="F277" s="683">
        <f>F271-F274</f>
        <v>0</v>
      </c>
      <c r="G277" s="14">
        <f t="shared" si="64"/>
        <v>0</v>
      </c>
      <c r="H277" s="14">
        <f t="shared" si="64"/>
        <v>0</v>
      </c>
    </row>
  </sheetData>
  <sortState ref="A16:H27">
    <sortCondition ref="A15"/>
  </sortState>
  <mergeCells count="154">
    <mergeCell ref="A233:B233"/>
    <mergeCell ref="A217:B217"/>
    <mergeCell ref="A240:A241"/>
    <mergeCell ref="B240:B241"/>
    <mergeCell ref="A45:A46"/>
    <mergeCell ref="B45:B46"/>
    <mergeCell ref="C45:C46"/>
    <mergeCell ref="A67:H67"/>
    <mergeCell ref="A220:A221"/>
    <mergeCell ref="B220:B221"/>
    <mergeCell ref="C220:C221"/>
    <mergeCell ref="A236:H236"/>
    <mergeCell ref="A237:H237"/>
    <mergeCell ref="A219:H219"/>
    <mergeCell ref="A206:A207"/>
    <mergeCell ref="B206:B207"/>
    <mergeCell ref="C206:C207"/>
    <mergeCell ref="A214:A215"/>
    <mergeCell ref="B214:B215"/>
    <mergeCell ref="C214:C215"/>
    <mergeCell ref="A205:H205"/>
    <mergeCell ref="A213:H213"/>
    <mergeCell ref="A188:H188"/>
    <mergeCell ref="A189:A190"/>
    <mergeCell ref="B189:B190"/>
    <mergeCell ref="C189:C190"/>
    <mergeCell ref="A137:A138"/>
    <mergeCell ref="B137:B138"/>
    <mergeCell ref="C137:C138"/>
    <mergeCell ref="A143:A144"/>
    <mergeCell ref="B143:B144"/>
    <mergeCell ref="C143:C144"/>
    <mergeCell ref="A136:H136"/>
    <mergeCell ref="A142:H142"/>
    <mergeCell ref="A166:A167"/>
    <mergeCell ref="B166:B167"/>
    <mergeCell ref="C166:C167"/>
    <mergeCell ref="A173:A174"/>
    <mergeCell ref="B173:B174"/>
    <mergeCell ref="C173:C174"/>
    <mergeCell ref="A183:A184"/>
    <mergeCell ref="B183:B184"/>
    <mergeCell ref="C183:C184"/>
    <mergeCell ref="A172:H172"/>
    <mergeCell ref="A182:H182"/>
    <mergeCell ref="A121:A122"/>
    <mergeCell ref="B121:B122"/>
    <mergeCell ref="C121:C122"/>
    <mergeCell ref="A126:B126"/>
    <mergeCell ref="A140:B140"/>
    <mergeCell ref="A120:H120"/>
    <mergeCell ref="A115:A116"/>
    <mergeCell ref="B115:B116"/>
    <mergeCell ref="C115:C116"/>
    <mergeCell ref="A118:B118"/>
    <mergeCell ref="A128:H128"/>
    <mergeCell ref="A129:A130"/>
    <mergeCell ref="B129:B130"/>
    <mergeCell ref="C129:C130"/>
    <mergeCell ref="A133:B133"/>
    <mergeCell ref="A114:H114"/>
    <mergeCell ref="A100:A101"/>
    <mergeCell ref="B100:B101"/>
    <mergeCell ref="C100:C101"/>
    <mergeCell ref="A108:A109"/>
    <mergeCell ref="B108:B109"/>
    <mergeCell ref="C108:C109"/>
    <mergeCell ref="A107:H107"/>
    <mergeCell ref="A112:B112"/>
    <mergeCell ref="A74:H74"/>
    <mergeCell ref="A93:A94"/>
    <mergeCell ref="B93:B94"/>
    <mergeCell ref="C93:C94"/>
    <mergeCell ref="A92:H92"/>
    <mergeCell ref="A37:A38"/>
    <mergeCell ref="B37:B38"/>
    <mergeCell ref="C37:C38"/>
    <mergeCell ref="A44:H44"/>
    <mergeCell ref="A53:H53"/>
    <mergeCell ref="A80:H80"/>
    <mergeCell ref="A81:A82"/>
    <mergeCell ref="B81:B82"/>
    <mergeCell ref="C81:C82"/>
    <mergeCell ref="A84:B84"/>
    <mergeCell ref="A1:H1"/>
    <mergeCell ref="A2:H2"/>
    <mergeCell ref="A3:H3"/>
    <mergeCell ref="A6:A7"/>
    <mergeCell ref="B6:B7"/>
    <mergeCell ref="C6:C7"/>
    <mergeCell ref="A5:H5"/>
    <mergeCell ref="A30:A31"/>
    <mergeCell ref="B30:B31"/>
    <mergeCell ref="C30:C31"/>
    <mergeCell ref="A29:H29"/>
    <mergeCell ref="A23:H23"/>
    <mergeCell ref="A11:H11"/>
    <mergeCell ref="A12:A13"/>
    <mergeCell ref="B12:B13"/>
    <mergeCell ref="C12:C13"/>
    <mergeCell ref="A24:A25"/>
    <mergeCell ref="B24:B25"/>
    <mergeCell ref="C24:C25"/>
    <mergeCell ref="A9:B9"/>
    <mergeCell ref="A21:B21"/>
    <mergeCell ref="A27:B27"/>
    <mergeCell ref="A34:B34"/>
    <mergeCell ref="A42:B42"/>
    <mergeCell ref="A51:B51"/>
    <mergeCell ref="A65:B65"/>
    <mergeCell ref="A72:B72"/>
    <mergeCell ref="A78:B78"/>
    <mergeCell ref="A90:B90"/>
    <mergeCell ref="A96:B96"/>
    <mergeCell ref="A105:B105"/>
    <mergeCell ref="A36:H36"/>
    <mergeCell ref="A68:A69"/>
    <mergeCell ref="B68:B69"/>
    <mergeCell ref="C68:C69"/>
    <mergeCell ref="A99:H99"/>
    <mergeCell ref="A87:A88"/>
    <mergeCell ref="B87:B88"/>
    <mergeCell ref="C87:C88"/>
    <mergeCell ref="A86:H86"/>
    <mergeCell ref="A54:A55"/>
    <mergeCell ref="B54:B55"/>
    <mergeCell ref="C54:C55"/>
    <mergeCell ref="A75:A76"/>
    <mergeCell ref="B75:B76"/>
    <mergeCell ref="C75:C76"/>
    <mergeCell ref="A271:B271"/>
    <mergeCell ref="A150:B150"/>
    <mergeCell ref="A157:B157"/>
    <mergeCell ref="A163:B163"/>
    <mergeCell ref="A170:B170"/>
    <mergeCell ref="A180:B180"/>
    <mergeCell ref="A186:B186"/>
    <mergeCell ref="A194:B194"/>
    <mergeCell ref="A203:B203"/>
    <mergeCell ref="A211:B211"/>
    <mergeCell ref="A159:H159"/>
    <mergeCell ref="A165:H165"/>
    <mergeCell ref="A153:A154"/>
    <mergeCell ref="B153:B154"/>
    <mergeCell ref="C153:C154"/>
    <mergeCell ref="A152:H152"/>
    <mergeCell ref="A160:A161"/>
    <mergeCell ref="B160:B161"/>
    <mergeCell ref="C160:C161"/>
    <mergeCell ref="A197:A198"/>
    <mergeCell ref="B197:B198"/>
    <mergeCell ref="C197:C198"/>
    <mergeCell ref="A196:H196"/>
    <mergeCell ref="A238:H238"/>
  </mergeCells>
  <pageMargins left="0.9" right="0.7" top="0.75" bottom="0.75" header="0.3" footer="0.3"/>
  <pageSetup scale="75" orientation="portrait" r:id="rId1"/>
  <rowBreaks count="1" manualBreakCount="1">
    <brk id="23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0"/>
  <sheetViews>
    <sheetView topLeftCell="A145" zoomScale="115" zoomScaleNormal="115" zoomScaleSheetLayoutView="70" workbookViewId="0">
      <selection activeCell="F159" sqref="F159"/>
    </sheetView>
  </sheetViews>
  <sheetFormatPr defaultColWidth="9.140625" defaultRowHeight="15" x14ac:dyDescent="0.25"/>
  <cols>
    <col min="1" max="1" width="5.85546875" style="120" customWidth="1"/>
    <col min="2" max="2" width="23.28515625" style="120" customWidth="1"/>
    <col min="3" max="3" width="9.85546875" style="120" bestFit="1" customWidth="1"/>
    <col min="4" max="4" width="14.28515625" style="120" customWidth="1"/>
    <col min="5" max="5" width="18.42578125" style="120" customWidth="1"/>
    <col min="6" max="6" width="21.28515625" style="120" customWidth="1"/>
    <col min="7" max="7" width="23.28515625" style="120" customWidth="1"/>
    <col min="8" max="8" width="12.28515625" style="120" customWidth="1"/>
    <col min="9" max="10" width="16" style="120" customWidth="1"/>
    <col min="11" max="11" width="14.85546875" style="120" customWidth="1"/>
    <col min="12" max="12" width="20.28515625" style="120" customWidth="1"/>
    <col min="13" max="13" width="9.140625" style="120"/>
    <col min="14" max="14" width="11.5703125" style="120" customWidth="1"/>
    <col min="15" max="16384" width="9.140625" style="120"/>
  </cols>
  <sheetData>
    <row r="1" spans="1:11" ht="28.5" customHeight="1" x14ac:dyDescent="0.25">
      <c r="A1" s="1207" t="s">
        <v>180</v>
      </c>
      <c r="B1" s="1207"/>
      <c r="C1" s="1207"/>
      <c r="D1" s="1207"/>
      <c r="E1" s="1207"/>
      <c r="F1" s="1207"/>
      <c r="G1" s="1207"/>
      <c r="H1" s="1207"/>
    </row>
    <row r="2" spans="1:11" ht="25.5" customHeight="1" x14ac:dyDescent="0.25">
      <c r="A2" s="1208" t="s">
        <v>181</v>
      </c>
      <c r="B2" s="1208"/>
      <c r="C2" s="1208"/>
      <c r="D2" s="1208"/>
      <c r="E2" s="1208"/>
      <c r="F2" s="1208"/>
      <c r="G2" s="1208"/>
      <c r="H2" s="1208"/>
    </row>
    <row r="3" spans="1:11" ht="22.5" customHeight="1" x14ac:dyDescent="0.25">
      <c r="A3" s="1209" t="str">
        <f>'Major Minerals'!A3:H3</f>
        <v>Financial Year 2023-24</v>
      </c>
      <c r="B3" s="1209"/>
      <c r="C3" s="1209"/>
      <c r="D3" s="1209"/>
      <c r="E3" s="1209"/>
      <c r="F3" s="1209"/>
      <c r="G3" s="1209"/>
      <c r="H3" s="1209"/>
    </row>
    <row r="4" spans="1:11" ht="20.25" x14ac:dyDescent="0.25">
      <c r="A4" s="124"/>
      <c r="B4" s="124"/>
      <c r="C4" s="124"/>
      <c r="D4" s="124"/>
      <c r="E4" s="124"/>
      <c r="F4" s="124"/>
      <c r="G4" s="124"/>
      <c r="H4" s="124"/>
    </row>
    <row r="5" spans="1:11" s="1022" customFormat="1" x14ac:dyDescent="0.25">
      <c r="A5" s="1210" t="s">
        <v>138</v>
      </c>
      <c r="B5" s="1210"/>
      <c r="C5" s="1210"/>
      <c r="D5" s="1210"/>
      <c r="E5" s="1210"/>
      <c r="F5" s="1210"/>
      <c r="G5" s="1210"/>
      <c r="H5" s="1210"/>
    </row>
    <row r="6" spans="1:11" s="334" customFormat="1" ht="17.100000000000001" customHeight="1" x14ac:dyDescent="0.25">
      <c r="A6" s="1184" t="s">
        <v>182</v>
      </c>
      <c r="B6" s="1184" t="s">
        <v>3</v>
      </c>
      <c r="C6" s="1184" t="s">
        <v>4</v>
      </c>
      <c r="D6" s="336" t="s">
        <v>5</v>
      </c>
      <c r="E6" s="337" t="s">
        <v>6</v>
      </c>
      <c r="F6" s="338" t="s">
        <v>7</v>
      </c>
      <c r="G6" s="338" t="s">
        <v>8</v>
      </c>
      <c r="H6" s="337" t="s">
        <v>9</v>
      </c>
      <c r="I6" s="1215" t="s">
        <v>622</v>
      </c>
      <c r="J6" s="748"/>
      <c r="K6" s="1215" t="s">
        <v>623</v>
      </c>
    </row>
    <row r="7" spans="1:11" s="334" customFormat="1" ht="17.100000000000001" customHeight="1" x14ac:dyDescent="0.25">
      <c r="A7" s="1185"/>
      <c r="B7" s="1185"/>
      <c r="C7" s="1196"/>
      <c r="D7" s="947" t="s">
        <v>380</v>
      </c>
      <c r="E7" s="339" t="s">
        <v>79</v>
      </c>
      <c r="F7" s="948" t="s">
        <v>632</v>
      </c>
      <c r="G7" s="948" t="s">
        <v>671</v>
      </c>
      <c r="H7" s="339" t="s">
        <v>13</v>
      </c>
      <c r="I7" s="1215"/>
      <c r="J7" s="748"/>
      <c r="K7" s="1215"/>
    </row>
    <row r="8" spans="1:11" s="334" customFormat="1" ht="17.100000000000001" customHeight="1" x14ac:dyDescent="0.25">
      <c r="A8" s="206">
        <v>1</v>
      </c>
      <c r="B8" s="962" t="s">
        <v>62</v>
      </c>
      <c r="C8" s="942">
        <v>203</v>
      </c>
      <c r="D8" s="942">
        <v>200.24</v>
      </c>
      <c r="E8" s="942">
        <v>347424</v>
      </c>
      <c r="F8" s="942">
        <v>694847780</v>
      </c>
      <c r="G8" s="974">
        <v>120652960</v>
      </c>
      <c r="H8" s="1030">
        <v>1550</v>
      </c>
      <c r="I8" s="819">
        <f>F8/E8</f>
        <v>1999.9993667679837</v>
      </c>
      <c r="J8" s="819">
        <v>1850</v>
      </c>
      <c r="K8" s="819">
        <f>G8/E8</f>
        <v>347.27871419360781</v>
      </c>
    </row>
    <row r="9" spans="1:11" s="334" customFormat="1" ht="17.100000000000001" customHeight="1" x14ac:dyDescent="0.25">
      <c r="A9" s="143">
        <f>+A8+1</f>
        <v>2</v>
      </c>
      <c r="B9" s="962" t="s">
        <v>58</v>
      </c>
      <c r="C9" s="974">
        <v>324</v>
      </c>
      <c r="D9" s="974">
        <v>853.69</v>
      </c>
      <c r="E9" s="974">
        <v>1738813</v>
      </c>
      <c r="F9" s="974">
        <f>E9*2150</f>
        <v>3738447950</v>
      </c>
      <c r="G9" s="974">
        <v>737673255</v>
      </c>
      <c r="H9" s="1030">
        <v>1400</v>
      </c>
      <c r="I9" s="819">
        <f t="shared" ref="I9:I65" si="0">F9/E9</f>
        <v>2150</v>
      </c>
      <c r="J9" s="819">
        <v>2000</v>
      </c>
      <c r="K9" s="819">
        <f t="shared" ref="K9:K17" si="1">G9/E9</f>
        <v>424.23955594994976</v>
      </c>
    </row>
    <row r="10" spans="1:11" s="334" customFormat="1" ht="17.100000000000001" customHeight="1" x14ac:dyDescent="0.25">
      <c r="A10" s="143">
        <f>+A9+1</f>
        <v>3</v>
      </c>
      <c r="B10" s="962" t="s">
        <v>63</v>
      </c>
      <c r="C10" s="974">
        <v>12</v>
      </c>
      <c r="D10" s="974">
        <v>12.2034</v>
      </c>
      <c r="E10" s="974">
        <v>437542</v>
      </c>
      <c r="F10" s="988">
        <f>E10*210</f>
        <v>91883820</v>
      </c>
      <c r="G10" s="974">
        <v>51715657</v>
      </c>
      <c r="H10" s="974">
        <v>250</v>
      </c>
      <c r="I10" s="819">
        <f t="shared" si="0"/>
        <v>210</v>
      </c>
      <c r="J10" s="819">
        <v>190</v>
      </c>
      <c r="K10" s="819">
        <f t="shared" si="1"/>
        <v>118.19586919655713</v>
      </c>
    </row>
    <row r="11" spans="1:11" s="334" customFormat="1" ht="17.100000000000001" customHeight="1" x14ac:dyDescent="0.25">
      <c r="A11" s="143">
        <v>4</v>
      </c>
      <c r="B11" s="962" t="s">
        <v>183</v>
      </c>
      <c r="C11" s="974">
        <v>7</v>
      </c>
      <c r="D11" s="974">
        <v>11.5</v>
      </c>
      <c r="E11" s="974">
        <v>203</v>
      </c>
      <c r="F11" s="974">
        <f>E11*700</f>
        <v>142100</v>
      </c>
      <c r="G11" s="974">
        <v>1437118</v>
      </c>
      <c r="H11" s="974">
        <v>25</v>
      </c>
      <c r="I11" s="819">
        <f t="shared" si="0"/>
        <v>700</v>
      </c>
      <c r="J11" s="819" t="e">
        <v>#DIV/0!</v>
      </c>
      <c r="K11" s="819">
        <f t="shared" si="1"/>
        <v>7079.3990147783252</v>
      </c>
    </row>
    <row r="12" spans="1:11" s="334" customFormat="1" ht="17.100000000000001" customHeight="1" x14ac:dyDescent="0.25">
      <c r="A12" s="143">
        <f>+A11+1</f>
        <v>5</v>
      </c>
      <c r="B12" s="962" t="s">
        <v>59</v>
      </c>
      <c r="C12" s="942">
        <v>2</v>
      </c>
      <c r="D12" s="1030">
        <v>716.12879999999996</v>
      </c>
      <c r="E12" s="974">
        <f>G12/45</f>
        <v>171426.11111111112</v>
      </c>
      <c r="F12" s="988">
        <f>E12*550</f>
        <v>94284361.111111119</v>
      </c>
      <c r="G12" s="974">
        <v>7714175</v>
      </c>
      <c r="H12" s="1030">
        <v>150</v>
      </c>
      <c r="I12" s="819">
        <v>450</v>
      </c>
      <c r="J12" s="819">
        <v>350.00000000000006</v>
      </c>
      <c r="K12" s="819">
        <f t="shared" si="1"/>
        <v>45</v>
      </c>
    </row>
    <row r="13" spans="1:11" s="334" customFormat="1" ht="17.100000000000001" customHeight="1" x14ac:dyDescent="0.25">
      <c r="A13" s="203">
        <v>6</v>
      </c>
      <c r="B13" s="963" t="s">
        <v>40</v>
      </c>
      <c r="C13" s="974">
        <v>37</v>
      </c>
      <c r="D13" s="974">
        <v>199.37</v>
      </c>
      <c r="E13" s="974">
        <v>64318</v>
      </c>
      <c r="F13" s="974">
        <f>E13*605</f>
        <v>38912390</v>
      </c>
      <c r="G13" s="974">
        <v>6269645</v>
      </c>
      <c r="H13" s="974">
        <v>25</v>
      </c>
      <c r="I13" s="819">
        <f t="shared" si="0"/>
        <v>605</v>
      </c>
      <c r="J13" s="819">
        <v>610</v>
      </c>
      <c r="K13" s="819">
        <f t="shared" si="1"/>
        <v>97.478855063901236</v>
      </c>
    </row>
    <row r="14" spans="1:11" s="334" customFormat="1" ht="17.100000000000001" customHeight="1" x14ac:dyDescent="0.25">
      <c r="A14" s="166">
        <v>7</v>
      </c>
      <c r="B14" s="964" t="s">
        <v>73</v>
      </c>
      <c r="C14" s="974">
        <v>2</v>
      </c>
      <c r="D14" s="974">
        <v>4.51</v>
      </c>
      <c r="E14" s="974">
        <v>7768</v>
      </c>
      <c r="F14" s="974">
        <f>E14*2000</f>
        <v>15536000</v>
      </c>
      <c r="G14" s="1030">
        <v>2101049</v>
      </c>
      <c r="H14" s="1030">
        <v>45</v>
      </c>
      <c r="I14" s="819">
        <f t="shared" si="0"/>
        <v>2000</v>
      </c>
      <c r="J14" s="819">
        <v>1999.9999999999998</v>
      </c>
      <c r="K14" s="819">
        <f t="shared" si="1"/>
        <v>270.47489701338827</v>
      </c>
    </row>
    <row r="15" spans="1:11" s="334" customFormat="1" ht="17.100000000000001" customHeight="1" x14ac:dyDescent="0.25">
      <c r="A15" s="166">
        <v>8</v>
      </c>
      <c r="B15" s="964" t="s">
        <v>618</v>
      </c>
      <c r="C15" s="974">
        <v>380</v>
      </c>
      <c r="D15" s="974">
        <v>1829.4269999999999</v>
      </c>
      <c r="E15" s="974">
        <v>705055</v>
      </c>
      <c r="F15" s="974">
        <f>E15*485</f>
        <v>341951675</v>
      </c>
      <c r="G15" s="1030">
        <v>103765098</v>
      </c>
      <c r="H15" s="831">
        <v>458</v>
      </c>
      <c r="I15" s="819">
        <f t="shared" si="0"/>
        <v>485</v>
      </c>
      <c r="J15" s="819">
        <v>499.99999999999994</v>
      </c>
      <c r="K15" s="819">
        <f t="shared" si="1"/>
        <v>147.17305458439412</v>
      </c>
    </row>
    <row r="16" spans="1:11" s="334" customFormat="1" ht="17.100000000000001" customHeight="1" x14ac:dyDescent="0.25">
      <c r="A16" s="166">
        <v>9</v>
      </c>
      <c r="B16" s="964" t="s">
        <v>159</v>
      </c>
      <c r="C16" s="974">
        <v>2</v>
      </c>
      <c r="D16" s="974">
        <v>9.8800000000000008</v>
      </c>
      <c r="E16" s="974">
        <v>635</v>
      </c>
      <c r="F16" s="974">
        <f>E16*1950</f>
        <v>1238250</v>
      </c>
      <c r="G16" s="1030">
        <v>489653</v>
      </c>
      <c r="H16" s="1030">
        <v>10</v>
      </c>
      <c r="I16" s="819">
        <v>1900</v>
      </c>
      <c r="J16" s="819">
        <v>1850</v>
      </c>
      <c r="K16" s="819">
        <f t="shared" si="1"/>
        <v>771.10708661417323</v>
      </c>
    </row>
    <row r="17" spans="1:11" s="334" customFormat="1" ht="17.100000000000001" customHeight="1" x14ac:dyDescent="0.25">
      <c r="A17" s="166">
        <v>10</v>
      </c>
      <c r="B17" s="960" t="s">
        <v>65</v>
      </c>
      <c r="C17" s="974">
        <v>0</v>
      </c>
      <c r="D17" s="974">
        <v>0</v>
      </c>
      <c r="E17" s="974">
        <v>137285</v>
      </c>
      <c r="F17" s="974">
        <f>E17*28</f>
        <v>3843980</v>
      </c>
      <c r="G17" s="1030">
        <v>1507989</v>
      </c>
      <c r="H17" s="1030">
        <v>15</v>
      </c>
      <c r="I17" s="819">
        <f t="shared" si="0"/>
        <v>28</v>
      </c>
      <c r="J17" s="819" t="e">
        <v>#DIV/0!</v>
      </c>
      <c r="K17" s="819">
        <f t="shared" si="1"/>
        <v>10.984368284954657</v>
      </c>
    </row>
    <row r="18" spans="1:11" s="334" customFormat="1" ht="17.100000000000001" customHeight="1" x14ac:dyDescent="0.25">
      <c r="A18" s="137"/>
      <c r="B18" s="627" t="s">
        <v>75</v>
      </c>
      <c r="C18" s="942">
        <v>0</v>
      </c>
      <c r="D18" s="942">
        <v>0</v>
      </c>
      <c r="E18" s="942"/>
      <c r="F18" s="942"/>
      <c r="G18" s="974">
        <v>14203362</v>
      </c>
      <c r="H18" s="1030"/>
      <c r="I18" s="819"/>
      <c r="J18" s="819"/>
      <c r="K18" s="819"/>
    </row>
    <row r="19" spans="1:11" s="334" customFormat="1" ht="17.100000000000001" customHeight="1" x14ac:dyDescent="0.25">
      <c r="A19" s="206"/>
      <c r="B19" s="306" t="s">
        <v>49</v>
      </c>
      <c r="C19" s="942">
        <v>0</v>
      </c>
      <c r="D19" s="942">
        <v>0</v>
      </c>
      <c r="E19" s="942"/>
      <c r="F19" s="942"/>
      <c r="G19" s="974">
        <v>30902</v>
      </c>
      <c r="H19" s="1030"/>
      <c r="I19" s="819"/>
      <c r="J19" s="819"/>
      <c r="K19" s="819"/>
    </row>
    <row r="20" spans="1:11" s="334" customFormat="1" ht="17.100000000000001" customHeight="1" x14ac:dyDescent="0.25">
      <c r="A20" s="1182" t="s">
        <v>50</v>
      </c>
      <c r="B20" s="1183"/>
      <c r="C20" s="941">
        <f>SUM(C8:C19)</f>
        <v>969</v>
      </c>
      <c r="D20" s="941">
        <f t="shared" ref="D20:H20" si="2">SUM(D8:D19)</f>
        <v>3836.9492</v>
      </c>
      <c r="E20" s="941">
        <f t="shared" si="2"/>
        <v>3610469.111111111</v>
      </c>
      <c r="F20" s="941">
        <f t="shared" si="2"/>
        <v>5021088306.1111107</v>
      </c>
      <c r="G20" s="941">
        <f t="shared" si="2"/>
        <v>1047560863</v>
      </c>
      <c r="H20" s="941">
        <f t="shared" si="2"/>
        <v>3928</v>
      </c>
      <c r="I20" s="819"/>
      <c r="J20" s="819"/>
      <c r="K20" s="819"/>
    </row>
    <row r="21" spans="1:11" s="334" customFormat="1" ht="17.100000000000001" customHeight="1" x14ac:dyDescent="0.25">
      <c r="A21" s="343"/>
      <c r="B21" s="344"/>
      <c r="C21" s="344"/>
      <c r="D21" s="345"/>
      <c r="E21" s="344"/>
      <c r="F21" s="346"/>
      <c r="G21" s="346"/>
      <c r="H21" s="347"/>
      <c r="I21" s="819"/>
      <c r="J21" s="819"/>
      <c r="K21" s="819"/>
    </row>
    <row r="22" spans="1:11" s="387" customFormat="1" ht="17.100000000000001" customHeight="1" x14ac:dyDescent="0.25">
      <c r="A22" s="1211" t="s">
        <v>92</v>
      </c>
      <c r="B22" s="1211"/>
      <c r="C22" s="1211"/>
      <c r="D22" s="1211"/>
      <c r="E22" s="1211"/>
      <c r="F22" s="1211"/>
      <c r="G22" s="1211"/>
      <c r="H22" s="1211"/>
      <c r="I22" s="828"/>
      <c r="J22" s="819"/>
      <c r="K22" s="828"/>
    </row>
    <row r="23" spans="1:11" s="334" customFormat="1" ht="17.100000000000001" customHeight="1" x14ac:dyDescent="0.25">
      <c r="A23" s="1184" t="s">
        <v>182</v>
      </c>
      <c r="B23" s="1184" t="s">
        <v>3</v>
      </c>
      <c r="C23" s="1184" t="s">
        <v>4</v>
      </c>
      <c r="D23" s="336" t="s">
        <v>5</v>
      </c>
      <c r="E23" s="337" t="s">
        <v>6</v>
      </c>
      <c r="F23" s="338" t="s">
        <v>7</v>
      </c>
      <c r="G23" s="338" t="s">
        <v>8</v>
      </c>
      <c r="H23" s="337" t="s">
        <v>9</v>
      </c>
      <c r="I23" s="819"/>
      <c r="J23" s="819"/>
      <c r="K23" s="819"/>
    </row>
    <row r="24" spans="1:11" s="334" customFormat="1" ht="17.100000000000001" customHeight="1" x14ac:dyDescent="0.25">
      <c r="A24" s="1185"/>
      <c r="B24" s="1185"/>
      <c r="C24" s="1185"/>
      <c r="D24" s="302" t="s">
        <v>380</v>
      </c>
      <c r="E24" s="339" t="s">
        <v>79</v>
      </c>
      <c r="F24" s="340" t="s">
        <v>632</v>
      </c>
      <c r="G24" s="340" t="s">
        <v>671</v>
      </c>
      <c r="H24" s="303" t="s">
        <v>13</v>
      </c>
      <c r="I24" s="819"/>
      <c r="J24" s="819"/>
      <c r="K24" s="819"/>
    </row>
    <row r="25" spans="1:11" s="334" customFormat="1" ht="17.100000000000001" customHeight="1" x14ac:dyDescent="0.25">
      <c r="A25" s="143">
        <v>1</v>
      </c>
      <c r="B25" s="63" t="s">
        <v>62</v>
      </c>
      <c r="C25" s="942">
        <v>21</v>
      </c>
      <c r="D25" s="942">
        <v>19.64</v>
      </c>
      <c r="E25" s="942">
        <v>25264</v>
      </c>
      <c r="F25" s="942">
        <v>48002284</v>
      </c>
      <c r="G25" s="942">
        <v>7154944</v>
      </c>
      <c r="H25" s="942">
        <v>110</v>
      </c>
      <c r="I25" s="819">
        <f t="shared" si="0"/>
        <v>1900.02707409753</v>
      </c>
      <c r="J25" s="819">
        <v>1600</v>
      </c>
      <c r="K25" s="819">
        <f t="shared" ref="K25:K65" si="3">G25/E25</f>
        <v>283.20709309689676</v>
      </c>
    </row>
    <row r="26" spans="1:11" s="334" customFormat="1" ht="17.100000000000001" customHeight="1" x14ac:dyDescent="0.25">
      <c r="A26" s="143">
        <f t="shared" ref="A26:A32" si="4">+A25+1</f>
        <v>2</v>
      </c>
      <c r="B26" s="63" t="s">
        <v>58</v>
      </c>
      <c r="C26" s="942">
        <v>117</v>
      </c>
      <c r="D26" s="943">
        <f>132+14.75</f>
        <v>146.75</v>
      </c>
      <c r="E26" s="942">
        <v>127235</v>
      </c>
      <c r="F26" s="1030">
        <v>279916846</v>
      </c>
      <c r="G26" s="1030">
        <v>9487719</v>
      </c>
      <c r="H26" s="942">
        <v>400</v>
      </c>
      <c r="I26" s="819">
        <f t="shared" si="0"/>
        <v>2199.9987896412149</v>
      </c>
      <c r="J26" s="819">
        <v>1900</v>
      </c>
      <c r="K26" s="819">
        <f t="shared" si="3"/>
        <v>74.568467795810903</v>
      </c>
    </row>
    <row r="27" spans="1:11" s="334" customFormat="1" ht="17.100000000000001" customHeight="1" x14ac:dyDescent="0.25">
      <c r="A27" s="143">
        <v>3</v>
      </c>
      <c r="B27" s="63" t="s">
        <v>146</v>
      </c>
      <c r="C27" s="942">
        <v>213</v>
      </c>
      <c r="D27" s="942">
        <v>226.7</v>
      </c>
      <c r="E27" s="942">
        <v>1893168</v>
      </c>
      <c r="F27" s="1030">
        <v>520621192</v>
      </c>
      <c r="G27" s="1030">
        <v>95614474</v>
      </c>
      <c r="H27" s="942">
        <v>1100</v>
      </c>
      <c r="I27" s="819">
        <f t="shared" si="0"/>
        <v>274.99999577427889</v>
      </c>
      <c r="J27" s="819">
        <v>180</v>
      </c>
      <c r="K27" s="819">
        <f t="shared" si="3"/>
        <v>50.505012761677783</v>
      </c>
    </row>
    <row r="28" spans="1:11" s="334" customFormat="1" ht="17.100000000000001" customHeight="1" x14ac:dyDescent="0.25">
      <c r="A28" s="143">
        <v>4</v>
      </c>
      <c r="B28" s="63" t="s">
        <v>68</v>
      </c>
      <c r="C28" s="942">
        <v>4</v>
      </c>
      <c r="D28" s="943">
        <v>10.4</v>
      </c>
      <c r="E28" s="942">
        <v>45635</v>
      </c>
      <c r="F28" s="1030">
        <v>10952305</v>
      </c>
      <c r="G28" s="1030">
        <v>51578644</v>
      </c>
      <c r="H28" s="942">
        <v>10</v>
      </c>
      <c r="I28" s="819">
        <f t="shared" si="0"/>
        <v>239.99791826448998</v>
      </c>
      <c r="J28" s="819">
        <v>250</v>
      </c>
      <c r="K28" s="819">
        <f t="shared" si="3"/>
        <v>1130.2431028815602</v>
      </c>
    </row>
    <row r="29" spans="1:11" s="334" customFormat="1" ht="17.100000000000001" customHeight="1" x14ac:dyDescent="0.25">
      <c r="A29" s="143">
        <v>5</v>
      </c>
      <c r="B29" s="63" t="s">
        <v>185</v>
      </c>
      <c r="C29" s="942">
        <v>0</v>
      </c>
      <c r="D29" s="942">
        <v>0</v>
      </c>
      <c r="E29" s="942">
        <v>0</v>
      </c>
      <c r="F29" s="942">
        <v>0</v>
      </c>
      <c r="G29" s="942">
        <v>0</v>
      </c>
      <c r="H29" s="942">
        <v>0</v>
      </c>
      <c r="I29" s="819" t="e">
        <f t="shared" si="0"/>
        <v>#DIV/0!</v>
      </c>
      <c r="J29" s="819">
        <v>650</v>
      </c>
      <c r="K29" s="819" t="e">
        <f t="shared" si="3"/>
        <v>#DIV/0!</v>
      </c>
    </row>
    <row r="30" spans="1:11" s="334" customFormat="1" ht="17.100000000000001" customHeight="1" x14ac:dyDescent="0.25">
      <c r="A30" s="143">
        <v>6</v>
      </c>
      <c r="B30" s="63" t="s">
        <v>59</v>
      </c>
      <c r="C30" s="942">
        <v>3</v>
      </c>
      <c r="D30" s="943">
        <v>1502.79</v>
      </c>
      <c r="E30" s="942">
        <v>31279</v>
      </c>
      <c r="F30" s="1030">
        <v>25023232</v>
      </c>
      <c r="G30" s="1030">
        <v>97448577</v>
      </c>
      <c r="H30" s="942">
        <v>22</v>
      </c>
      <c r="I30" s="819">
        <v>290</v>
      </c>
      <c r="J30" s="819">
        <v>289.99999654851155</v>
      </c>
      <c r="K30" s="819">
        <f t="shared" si="3"/>
        <v>3115.4633140445667</v>
      </c>
    </row>
    <row r="31" spans="1:11" s="334" customFormat="1" ht="17.100000000000001" customHeight="1" x14ac:dyDescent="0.25">
      <c r="A31" s="143">
        <v>7</v>
      </c>
      <c r="B31" s="63" t="s">
        <v>46</v>
      </c>
      <c r="C31" s="942">
        <v>2</v>
      </c>
      <c r="D31" s="943">
        <v>9.66</v>
      </c>
      <c r="E31" s="942">
        <v>325.20999999999998</v>
      </c>
      <c r="F31" s="1030">
        <v>461798</v>
      </c>
      <c r="G31" s="1030">
        <v>51498451</v>
      </c>
      <c r="H31" s="942">
        <v>15</v>
      </c>
      <c r="I31" s="819">
        <f t="shared" si="0"/>
        <v>1419.999385012761</v>
      </c>
      <c r="J31" s="819">
        <v>220</v>
      </c>
      <c r="K31" s="819">
        <f t="shared" si="3"/>
        <v>158354.45097014238</v>
      </c>
    </row>
    <row r="32" spans="1:11" s="334" customFormat="1" ht="17.100000000000001" customHeight="1" x14ac:dyDescent="0.25">
      <c r="A32" s="143">
        <f t="shared" si="4"/>
        <v>8</v>
      </c>
      <c r="B32" s="274" t="s">
        <v>162</v>
      </c>
      <c r="C32" s="942">
        <v>231</v>
      </c>
      <c r="D32" s="943">
        <v>1070.5</v>
      </c>
      <c r="E32" s="942">
        <v>969980</v>
      </c>
      <c r="F32" s="1030">
        <v>484990090</v>
      </c>
      <c r="G32" s="1030">
        <v>123256043</v>
      </c>
      <c r="H32" s="942">
        <v>1300</v>
      </c>
      <c r="I32" s="819">
        <f t="shared" si="0"/>
        <v>500.00009278541825</v>
      </c>
      <c r="J32" s="819">
        <v>420</v>
      </c>
      <c r="K32" s="819">
        <f t="shared" si="3"/>
        <v>127.07070558155839</v>
      </c>
    </row>
    <row r="33" spans="1:11" s="334" customFormat="1" ht="17.100000000000001" customHeight="1" x14ac:dyDescent="0.25">
      <c r="A33" s="143">
        <v>9</v>
      </c>
      <c r="B33" s="274" t="s">
        <v>159</v>
      </c>
      <c r="C33" s="942">
        <v>29</v>
      </c>
      <c r="D33" s="943">
        <v>153</v>
      </c>
      <c r="E33" s="942">
        <v>13280</v>
      </c>
      <c r="F33" s="1030">
        <f>E33*1950</f>
        <v>25896000</v>
      </c>
      <c r="G33" s="1030">
        <v>51822984</v>
      </c>
      <c r="H33" s="942">
        <v>250</v>
      </c>
      <c r="I33" s="819">
        <v>2000</v>
      </c>
      <c r="J33" s="819">
        <v>2050</v>
      </c>
      <c r="K33" s="819">
        <f t="shared" si="3"/>
        <v>3902.3331325301206</v>
      </c>
    </row>
    <row r="34" spans="1:11" s="334" customFormat="1" ht="17.100000000000001" customHeight="1" x14ac:dyDescent="0.25">
      <c r="A34" s="143">
        <v>10</v>
      </c>
      <c r="B34" s="274" t="s">
        <v>65</v>
      </c>
      <c r="C34" s="942">
        <v>0</v>
      </c>
      <c r="D34" s="943">
        <v>0</v>
      </c>
      <c r="E34" s="942">
        <v>34542</v>
      </c>
      <c r="F34" s="1030">
        <v>863560</v>
      </c>
      <c r="G34" s="1030">
        <v>1631136</v>
      </c>
      <c r="H34" s="942">
        <v>40</v>
      </c>
      <c r="I34" s="819">
        <f t="shared" si="0"/>
        <v>25.000289502634473</v>
      </c>
      <c r="J34" s="819">
        <v>25</v>
      </c>
      <c r="K34" s="819">
        <f t="shared" si="3"/>
        <v>47.22181691853396</v>
      </c>
    </row>
    <row r="35" spans="1:11" s="334" customFormat="1" ht="17.100000000000001" customHeight="1" x14ac:dyDescent="0.25">
      <c r="A35" s="143"/>
      <c r="B35" s="63" t="s">
        <v>75</v>
      </c>
      <c r="C35" s="942">
        <v>0</v>
      </c>
      <c r="D35" s="942">
        <v>0</v>
      </c>
      <c r="E35" s="942"/>
      <c r="F35" s="942"/>
      <c r="G35" s="1030">
        <v>24372161</v>
      </c>
      <c r="H35" s="942"/>
      <c r="I35" s="819"/>
      <c r="J35" s="819"/>
      <c r="K35" s="819"/>
    </row>
    <row r="36" spans="1:11" s="334" customFormat="1" ht="17.100000000000001" customHeight="1" x14ac:dyDescent="0.25">
      <c r="A36" s="143"/>
      <c r="B36" s="63" t="s">
        <v>49</v>
      </c>
      <c r="C36" s="942">
        <v>0</v>
      </c>
      <c r="D36" s="942">
        <v>0</v>
      </c>
      <c r="E36" s="942"/>
      <c r="F36" s="942"/>
      <c r="G36" s="974">
        <v>199316110</v>
      </c>
      <c r="H36" s="942"/>
      <c r="I36" s="819"/>
      <c r="J36" s="819"/>
      <c r="K36" s="819"/>
    </row>
    <row r="37" spans="1:11" s="334" customFormat="1" ht="17.100000000000001" customHeight="1" x14ac:dyDescent="0.25">
      <c r="A37" s="1182" t="s">
        <v>50</v>
      </c>
      <c r="B37" s="1183"/>
      <c r="C37" s="348">
        <f>SUM(C25:C36)</f>
        <v>620</v>
      </c>
      <c r="D37" s="348">
        <f t="shared" ref="D37:H37" si="5">SUM(D25:D36)</f>
        <v>3139.44</v>
      </c>
      <c r="E37" s="348">
        <f t="shared" si="5"/>
        <v>3140708.21</v>
      </c>
      <c r="F37" s="348">
        <f t="shared" si="5"/>
        <v>1396727307</v>
      </c>
      <c r="G37" s="348">
        <f t="shared" si="5"/>
        <v>713181243</v>
      </c>
      <c r="H37" s="348">
        <f t="shared" si="5"/>
        <v>3247</v>
      </c>
      <c r="I37" s="819"/>
      <c r="J37" s="819"/>
      <c r="K37" s="819"/>
    </row>
    <row r="38" spans="1:11" s="334" customFormat="1" ht="17.100000000000001" customHeight="1" x14ac:dyDescent="0.25">
      <c r="A38" s="343"/>
      <c r="B38" s="349"/>
      <c r="C38" s="349"/>
      <c r="D38" s="350"/>
      <c r="E38" s="350"/>
      <c r="F38" s="351"/>
      <c r="G38" s="351"/>
      <c r="H38" s="347"/>
      <c r="I38" s="819"/>
      <c r="J38" s="819"/>
      <c r="K38" s="819"/>
    </row>
    <row r="39" spans="1:11" s="334" customFormat="1" ht="17.100000000000001" customHeight="1" x14ac:dyDescent="0.25">
      <c r="A39" s="1188" t="s">
        <v>86</v>
      </c>
      <c r="B39" s="1188"/>
      <c r="C39" s="1188"/>
      <c r="D39" s="1188"/>
      <c r="E39" s="1188"/>
      <c r="F39" s="1188"/>
      <c r="G39" s="1188"/>
      <c r="H39" s="1188"/>
      <c r="I39" s="819"/>
      <c r="J39" s="819"/>
      <c r="K39" s="819"/>
    </row>
    <row r="40" spans="1:11" s="334" customFormat="1" ht="17.100000000000001" customHeight="1" x14ac:dyDescent="0.25">
      <c r="A40" s="1184" t="s">
        <v>182</v>
      </c>
      <c r="B40" s="1184" t="s">
        <v>3</v>
      </c>
      <c r="C40" s="1184" t="s">
        <v>4</v>
      </c>
      <c r="D40" s="336" t="s">
        <v>5</v>
      </c>
      <c r="E40" s="337" t="s">
        <v>6</v>
      </c>
      <c r="F40" s="338" t="s">
        <v>7</v>
      </c>
      <c r="G40" s="338" t="s">
        <v>8</v>
      </c>
      <c r="H40" s="337" t="s">
        <v>9</v>
      </c>
      <c r="I40" s="819"/>
      <c r="J40" s="819"/>
      <c r="K40" s="819"/>
    </row>
    <row r="41" spans="1:11" s="334" customFormat="1" ht="17.100000000000001" customHeight="1" x14ac:dyDescent="0.25">
      <c r="A41" s="1185"/>
      <c r="B41" s="1185"/>
      <c r="C41" s="1185"/>
      <c r="D41" s="302" t="s">
        <v>380</v>
      </c>
      <c r="E41" s="339" t="s">
        <v>79</v>
      </c>
      <c r="F41" s="340" t="s">
        <v>632</v>
      </c>
      <c r="G41" s="340" t="s">
        <v>671</v>
      </c>
      <c r="H41" s="303" t="s">
        <v>13</v>
      </c>
      <c r="I41" s="819"/>
      <c r="J41" s="819"/>
      <c r="K41" s="819"/>
    </row>
    <row r="42" spans="1:11" s="334" customFormat="1" ht="17.100000000000001" customHeight="1" x14ac:dyDescent="0.25">
      <c r="A42" s="236">
        <v>1</v>
      </c>
      <c r="B42" s="63" t="s">
        <v>62</v>
      </c>
      <c r="C42" s="942">
        <v>134</v>
      </c>
      <c r="D42" s="942">
        <v>194.83</v>
      </c>
      <c r="E42" s="942">
        <f>2804413+96177</f>
        <v>2900590</v>
      </c>
      <c r="F42" s="1030">
        <f>5047944138+48088940</f>
        <v>5096033078</v>
      </c>
      <c r="G42" s="1030">
        <f>426427621+13968450</f>
        <v>440396071</v>
      </c>
      <c r="H42" s="942">
        <v>3000</v>
      </c>
      <c r="I42" s="1049">
        <f t="shared" si="0"/>
        <v>1756.8953481877825</v>
      </c>
      <c r="J42" s="1049">
        <v>1550</v>
      </c>
      <c r="K42" s="819">
        <f t="shared" si="3"/>
        <v>151.82982462188727</v>
      </c>
    </row>
    <row r="43" spans="1:11" s="334" customFormat="1" ht="17.100000000000001" customHeight="1" x14ac:dyDescent="0.25">
      <c r="A43" s="63">
        <v>2</v>
      </c>
      <c r="B43" s="63" t="s">
        <v>63</v>
      </c>
      <c r="C43" s="942">
        <v>178</v>
      </c>
      <c r="D43" s="942">
        <v>154.69</v>
      </c>
      <c r="E43" s="942">
        <v>6575487</v>
      </c>
      <c r="F43" s="1030">
        <v>1380852308</v>
      </c>
      <c r="G43" s="1030">
        <v>289321436</v>
      </c>
      <c r="H43" s="942">
        <v>5000</v>
      </c>
      <c r="I43" s="819">
        <f t="shared" si="0"/>
        <v>210.00000577903964</v>
      </c>
      <c r="J43" s="819">
        <v>450</v>
      </c>
      <c r="K43" s="819">
        <f t="shared" si="3"/>
        <v>44.000001216639923</v>
      </c>
    </row>
    <row r="44" spans="1:11" s="334" customFormat="1" ht="17.100000000000001" customHeight="1" x14ac:dyDescent="0.25">
      <c r="A44" s="63">
        <v>3</v>
      </c>
      <c r="B44" s="63" t="s">
        <v>58</v>
      </c>
      <c r="C44" s="942">
        <v>6</v>
      </c>
      <c r="D44" s="990">
        <v>7</v>
      </c>
      <c r="E44" s="942">
        <v>2400</v>
      </c>
      <c r="F44" s="1030">
        <v>5041071</v>
      </c>
      <c r="G44" s="1030">
        <v>84018</v>
      </c>
      <c r="H44" s="942">
        <v>60</v>
      </c>
      <c r="I44" s="1049">
        <f t="shared" si="0"/>
        <v>2100.44625</v>
      </c>
      <c r="J44" s="1049">
        <v>700</v>
      </c>
      <c r="K44" s="819">
        <f t="shared" si="3"/>
        <v>35.0075</v>
      </c>
    </row>
    <row r="45" spans="1:11" s="334" customFormat="1" ht="17.100000000000001" customHeight="1" x14ac:dyDescent="0.25">
      <c r="A45" s="236">
        <v>4</v>
      </c>
      <c r="B45" s="63" t="s">
        <v>186</v>
      </c>
      <c r="C45" s="942">
        <v>1</v>
      </c>
      <c r="D45" s="942">
        <v>1.62</v>
      </c>
      <c r="E45" s="942">
        <v>3034.62</v>
      </c>
      <c r="F45" s="1030">
        <v>1972503</v>
      </c>
      <c r="G45" s="1030">
        <v>242770</v>
      </c>
      <c r="H45" s="942">
        <v>50</v>
      </c>
      <c r="I45" s="819">
        <v>690</v>
      </c>
      <c r="J45" s="819">
        <v>700</v>
      </c>
      <c r="K45" s="819">
        <f t="shared" si="3"/>
        <v>80.000131812220317</v>
      </c>
    </row>
    <row r="46" spans="1:11" s="334" customFormat="1" ht="17.100000000000001" customHeight="1" x14ac:dyDescent="0.25">
      <c r="A46" s="63">
        <v>5</v>
      </c>
      <c r="B46" s="63" t="s">
        <v>397</v>
      </c>
      <c r="C46" s="942">
        <v>8</v>
      </c>
      <c r="D46" s="942">
        <v>22.67</v>
      </c>
      <c r="E46" s="942">
        <v>108549</v>
      </c>
      <c r="F46" s="1030">
        <v>37992269</v>
      </c>
      <c r="G46" s="1030">
        <v>15739654</v>
      </c>
      <c r="H46" s="942">
        <v>1000</v>
      </c>
      <c r="I46" s="819">
        <v>1100</v>
      </c>
      <c r="J46" s="819">
        <v>1150</v>
      </c>
      <c r="K46" s="819">
        <f t="shared" si="3"/>
        <v>145.00045140904109</v>
      </c>
    </row>
    <row r="47" spans="1:11" s="334" customFormat="1" ht="17.100000000000001" customHeight="1" x14ac:dyDescent="0.25">
      <c r="A47" s="236">
        <v>6</v>
      </c>
      <c r="B47" s="63" t="s">
        <v>55</v>
      </c>
      <c r="C47" s="942">
        <v>0</v>
      </c>
      <c r="D47" s="990">
        <v>0</v>
      </c>
      <c r="E47" s="942"/>
      <c r="F47" s="1030"/>
      <c r="G47" s="1030"/>
      <c r="H47" s="942"/>
      <c r="I47" s="819" t="e">
        <f t="shared" si="0"/>
        <v>#DIV/0!</v>
      </c>
      <c r="J47" s="819">
        <v>899.99999990666674</v>
      </c>
      <c r="K47" s="819" t="e">
        <f t="shared" si="3"/>
        <v>#DIV/0!</v>
      </c>
    </row>
    <row r="48" spans="1:11" s="334" customFormat="1" ht="17.100000000000001" customHeight="1" x14ac:dyDescent="0.25">
      <c r="A48" s="63">
        <v>7</v>
      </c>
      <c r="B48" s="63" t="s">
        <v>54</v>
      </c>
      <c r="C48" s="942">
        <v>0</v>
      </c>
      <c r="D48" s="942">
        <v>0</v>
      </c>
      <c r="E48" s="942"/>
      <c r="F48" s="942"/>
      <c r="G48" s="942"/>
      <c r="H48" s="942"/>
      <c r="I48" s="819" t="e">
        <f t="shared" si="0"/>
        <v>#DIV/0!</v>
      </c>
      <c r="J48" s="819">
        <v>220</v>
      </c>
      <c r="K48" s="819" t="e">
        <f t="shared" si="3"/>
        <v>#DIV/0!</v>
      </c>
    </row>
    <row r="49" spans="1:11" s="334" customFormat="1" ht="17.100000000000001" customHeight="1" x14ac:dyDescent="0.25">
      <c r="A49" s="236">
        <v>8</v>
      </c>
      <c r="B49" s="63" t="s">
        <v>59</v>
      </c>
      <c r="C49" s="942">
        <v>0</v>
      </c>
      <c r="D49" s="942">
        <v>0</v>
      </c>
      <c r="E49" s="942"/>
      <c r="F49" s="942"/>
      <c r="G49" s="942"/>
      <c r="H49" s="942"/>
      <c r="I49" s="819" t="e">
        <f t="shared" si="0"/>
        <v>#DIV/0!</v>
      </c>
      <c r="J49" s="819" t="e">
        <v>#DIV/0!</v>
      </c>
      <c r="K49" s="819" t="e">
        <f t="shared" si="3"/>
        <v>#DIV/0!</v>
      </c>
    </row>
    <row r="50" spans="1:11" s="334" customFormat="1" ht="17.100000000000001" customHeight="1" x14ac:dyDescent="0.25">
      <c r="A50" s="63">
        <v>9</v>
      </c>
      <c r="B50" s="273" t="s">
        <v>162</v>
      </c>
      <c r="C50" s="942">
        <v>1</v>
      </c>
      <c r="D50" s="990">
        <v>4</v>
      </c>
      <c r="E50" s="942"/>
      <c r="F50" s="1030"/>
      <c r="G50" s="1030"/>
      <c r="H50" s="942"/>
      <c r="I50" s="819" t="e">
        <f t="shared" si="0"/>
        <v>#DIV/0!</v>
      </c>
      <c r="J50" s="819">
        <v>575</v>
      </c>
      <c r="K50" s="819" t="e">
        <f t="shared" si="3"/>
        <v>#DIV/0!</v>
      </c>
    </row>
    <row r="51" spans="1:11" s="334" customFormat="1" ht="17.100000000000001" customHeight="1" x14ac:dyDescent="0.25">
      <c r="A51" s="236">
        <v>10</v>
      </c>
      <c r="B51" s="274" t="s">
        <v>44</v>
      </c>
      <c r="C51" s="942">
        <v>2</v>
      </c>
      <c r="D51" s="976">
        <v>24.05</v>
      </c>
      <c r="E51" s="942">
        <v>9618</v>
      </c>
      <c r="F51" s="1030">
        <f>E51*540</f>
        <v>5193720</v>
      </c>
      <c r="G51" s="1030">
        <v>903244</v>
      </c>
      <c r="H51" s="942">
        <v>25</v>
      </c>
      <c r="I51" s="819">
        <v>500</v>
      </c>
      <c r="J51" s="819">
        <v>350</v>
      </c>
      <c r="K51" s="819">
        <f t="shared" si="3"/>
        <v>93.911831981700971</v>
      </c>
    </row>
    <row r="52" spans="1:11" s="334" customFormat="1" ht="17.100000000000001" customHeight="1" x14ac:dyDescent="0.25">
      <c r="A52" s="63">
        <v>11</v>
      </c>
      <c r="B52" s="274" t="s">
        <v>27</v>
      </c>
      <c r="C52" s="942">
        <v>1</v>
      </c>
      <c r="D52" s="990">
        <v>10</v>
      </c>
      <c r="E52" s="1030">
        <v>17450</v>
      </c>
      <c r="F52" s="1030">
        <f>E52*1560</f>
        <v>27222000</v>
      </c>
      <c r="G52" s="1030">
        <v>2914212</v>
      </c>
      <c r="H52" s="1030">
        <v>100</v>
      </c>
      <c r="I52" s="819">
        <f t="shared" si="0"/>
        <v>1560</v>
      </c>
      <c r="J52" s="819" t="e">
        <v>#DIV/0!</v>
      </c>
      <c r="K52" s="819">
        <f t="shared" si="3"/>
        <v>167.00355300859599</v>
      </c>
    </row>
    <row r="53" spans="1:11" s="334" customFormat="1" ht="17.100000000000001" customHeight="1" x14ac:dyDescent="0.25">
      <c r="A53" s="236"/>
      <c r="B53" s="236" t="s">
        <v>75</v>
      </c>
      <c r="C53" s="942">
        <v>0</v>
      </c>
      <c r="D53" s="942">
        <v>0</v>
      </c>
      <c r="E53" s="942"/>
      <c r="F53" s="942"/>
      <c r="G53" s="942">
        <v>95691867</v>
      </c>
      <c r="H53" s="942"/>
      <c r="I53" s="819"/>
      <c r="J53" s="819"/>
      <c r="K53" s="819"/>
    </row>
    <row r="54" spans="1:11" s="334" customFormat="1" ht="17.100000000000001" customHeight="1" x14ac:dyDescent="0.25">
      <c r="A54" s="63"/>
      <c r="B54" s="329" t="s">
        <v>49</v>
      </c>
      <c r="C54" s="942">
        <v>0</v>
      </c>
      <c r="D54" s="942">
        <v>0</v>
      </c>
      <c r="E54" s="942"/>
      <c r="F54" s="942"/>
      <c r="G54" s="942">
        <v>387600000</v>
      </c>
      <c r="H54" s="942"/>
      <c r="I54" s="819"/>
      <c r="J54" s="819"/>
      <c r="K54" s="819"/>
    </row>
    <row r="55" spans="1:11" s="334" customFormat="1" ht="17.100000000000001" customHeight="1" x14ac:dyDescent="0.25">
      <c r="A55" s="1182" t="s">
        <v>50</v>
      </c>
      <c r="B55" s="1183"/>
      <c r="C55" s="335">
        <f>SUM(C42:C54)</f>
        <v>331</v>
      </c>
      <c r="D55" s="335">
        <f t="shared" ref="D55" si="6">SUM(D42:D54)</f>
        <v>418.86</v>
      </c>
      <c r="E55" s="335">
        <f>SUM(E42:E54)</f>
        <v>9617128.6199999992</v>
      </c>
      <c r="F55" s="371">
        <f>SUM(F42:F54)</f>
        <v>6554306949</v>
      </c>
      <c r="G55" s="371">
        <f>SUM(G42:G54)</f>
        <v>1232893272</v>
      </c>
      <c r="H55" s="335">
        <f>SUM(H42:H54)</f>
        <v>9235</v>
      </c>
      <c r="I55" s="819"/>
      <c r="J55" s="819"/>
      <c r="K55" s="819"/>
    </row>
    <row r="56" spans="1:11" s="334" customFormat="1" ht="17.100000000000001" customHeight="1" x14ac:dyDescent="0.25">
      <c r="A56" s="343"/>
      <c r="B56" s="352"/>
      <c r="C56" s="980"/>
      <c r="D56" s="980" t="s">
        <v>644</v>
      </c>
      <c r="E56" s="980"/>
      <c r="F56" s="347"/>
      <c r="G56" s="347"/>
      <c r="H56" s="347"/>
      <c r="I56" s="819"/>
      <c r="J56" s="819"/>
      <c r="K56" s="819"/>
    </row>
    <row r="57" spans="1:11" s="334" customFormat="1" ht="17.100000000000001" customHeight="1" x14ac:dyDescent="0.25">
      <c r="A57" s="1203" t="s">
        <v>145</v>
      </c>
      <c r="B57" s="1203"/>
      <c r="C57" s="1203"/>
      <c r="D57" s="1203"/>
      <c r="E57" s="1203"/>
      <c r="F57" s="1203"/>
      <c r="G57" s="1203"/>
      <c r="H57" s="1203"/>
      <c r="I57" s="819"/>
      <c r="J57" s="819"/>
      <c r="K57" s="819"/>
    </row>
    <row r="58" spans="1:11" s="334" customFormat="1" ht="17.100000000000001" customHeight="1" x14ac:dyDescent="0.25">
      <c r="A58" s="1184" t="s">
        <v>182</v>
      </c>
      <c r="B58" s="1184" t="s">
        <v>3</v>
      </c>
      <c r="C58" s="1184" t="s">
        <v>4</v>
      </c>
      <c r="D58" s="336" t="s">
        <v>5</v>
      </c>
      <c r="E58" s="337" t="s">
        <v>6</v>
      </c>
      <c r="F58" s="338" t="s">
        <v>7</v>
      </c>
      <c r="G58" s="338" t="s">
        <v>8</v>
      </c>
      <c r="H58" s="337" t="s">
        <v>9</v>
      </c>
      <c r="I58" s="819"/>
      <c r="J58" s="819"/>
      <c r="K58" s="819"/>
    </row>
    <row r="59" spans="1:11" s="334" customFormat="1" ht="17.100000000000001" customHeight="1" x14ac:dyDescent="0.25">
      <c r="A59" s="1185"/>
      <c r="B59" s="1185"/>
      <c r="C59" s="1185"/>
      <c r="D59" s="302" t="s">
        <v>380</v>
      </c>
      <c r="E59" s="339" t="s">
        <v>79</v>
      </c>
      <c r="F59" s="340" t="s">
        <v>632</v>
      </c>
      <c r="G59" s="340" t="s">
        <v>671</v>
      </c>
      <c r="H59" s="303" t="s">
        <v>13</v>
      </c>
      <c r="I59" s="819"/>
      <c r="J59" s="819"/>
      <c r="K59" s="819"/>
    </row>
    <row r="60" spans="1:11" s="334" customFormat="1" ht="17.100000000000001" customHeight="1" x14ac:dyDescent="0.25">
      <c r="A60" s="143">
        <v>1</v>
      </c>
      <c r="B60" s="63" t="s">
        <v>62</v>
      </c>
      <c r="C60" s="942">
        <v>6</v>
      </c>
      <c r="D60" s="942">
        <v>20.85</v>
      </c>
      <c r="E60" s="1090">
        <v>7025</v>
      </c>
      <c r="F60" s="1091">
        <f>E60*1850</f>
        <v>12996250</v>
      </c>
      <c r="G60" s="1092">
        <v>1686000</v>
      </c>
      <c r="H60" s="1092">
        <v>145</v>
      </c>
      <c r="I60" s="819">
        <f t="shared" si="0"/>
        <v>1850</v>
      </c>
      <c r="J60" s="819">
        <v>1850</v>
      </c>
      <c r="K60" s="819">
        <f t="shared" si="3"/>
        <v>240</v>
      </c>
    </row>
    <row r="61" spans="1:11" s="334" customFormat="1" ht="17.100000000000001" customHeight="1" x14ac:dyDescent="0.25">
      <c r="A61" s="143">
        <f>+A60+1</f>
        <v>2</v>
      </c>
      <c r="B61" s="63" t="s">
        <v>71</v>
      </c>
      <c r="C61" s="942">
        <v>52</v>
      </c>
      <c r="D61" s="942">
        <v>55.28</v>
      </c>
      <c r="E61" s="1090">
        <v>2552037.75</v>
      </c>
      <c r="F61" s="1091">
        <f>E61*1000</f>
        <v>2552037750</v>
      </c>
      <c r="G61" s="1092">
        <v>595867242</v>
      </c>
      <c r="H61" s="1092">
        <v>14600</v>
      </c>
      <c r="I61" s="819">
        <f t="shared" si="0"/>
        <v>1000</v>
      </c>
      <c r="J61" s="819">
        <v>750</v>
      </c>
      <c r="K61" s="819">
        <f t="shared" si="3"/>
        <v>233.4868447772765</v>
      </c>
    </row>
    <row r="62" spans="1:11" s="334" customFormat="1" ht="17.100000000000001" customHeight="1" x14ac:dyDescent="0.25">
      <c r="A62" s="143">
        <v>3</v>
      </c>
      <c r="B62" s="63" t="s">
        <v>63</v>
      </c>
      <c r="C62" s="942">
        <v>103</v>
      </c>
      <c r="D62" s="942">
        <v>111.76</v>
      </c>
      <c r="E62" s="1090">
        <v>5942252.1299999999</v>
      </c>
      <c r="F62" s="1091">
        <f>E62*215</f>
        <v>1277584207.95</v>
      </c>
      <c r="G62" s="1092">
        <v>199961972</v>
      </c>
      <c r="H62" s="1092">
        <v>11250</v>
      </c>
      <c r="I62" s="819">
        <f t="shared" si="0"/>
        <v>215</v>
      </c>
      <c r="J62" s="819">
        <v>185</v>
      </c>
      <c r="K62" s="819">
        <f t="shared" si="3"/>
        <v>33.650873040286157</v>
      </c>
    </row>
    <row r="63" spans="1:11" s="334" customFormat="1" ht="17.100000000000001" customHeight="1" x14ac:dyDescent="0.25">
      <c r="A63" s="143">
        <v>4</v>
      </c>
      <c r="B63" s="276" t="s">
        <v>392</v>
      </c>
      <c r="C63" s="942">
        <v>0</v>
      </c>
      <c r="D63" s="942">
        <v>0</v>
      </c>
      <c r="E63" s="1091">
        <v>0</v>
      </c>
      <c r="F63" s="1091">
        <f>E63*550</f>
        <v>0</v>
      </c>
      <c r="G63" s="1092">
        <v>0</v>
      </c>
      <c r="H63" s="1092">
        <v>0</v>
      </c>
      <c r="I63" s="819" t="e">
        <f t="shared" si="0"/>
        <v>#DIV/0!</v>
      </c>
      <c r="J63" s="819" t="e">
        <v>#DIV/0!</v>
      </c>
      <c r="K63" s="819" t="e">
        <f t="shared" si="3"/>
        <v>#DIV/0!</v>
      </c>
    </row>
    <row r="64" spans="1:11" s="334" customFormat="1" ht="17.100000000000001" customHeight="1" x14ac:dyDescent="0.25">
      <c r="A64" s="143">
        <v>5</v>
      </c>
      <c r="B64" s="63" t="s">
        <v>187</v>
      </c>
      <c r="C64" s="942">
        <v>3</v>
      </c>
      <c r="D64" s="942">
        <v>3</v>
      </c>
      <c r="E64" s="1091">
        <v>14069.68</v>
      </c>
      <c r="F64" s="1091">
        <f>E64*340</f>
        <v>4783691.2</v>
      </c>
      <c r="G64" s="1092">
        <v>450230</v>
      </c>
      <c r="H64" s="1092">
        <v>20</v>
      </c>
      <c r="I64" s="819">
        <f t="shared" si="0"/>
        <v>340</v>
      </c>
      <c r="J64" s="819">
        <v>180</v>
      </c>
      <c r="K64" s="819">
        <f t="shared" si="3"/>
        <v>32.000017057957251</v>
      </c>
    </row>
    <row r="65" spans="1:11" s="334" customFormat="1" ht="17.100000000000001" customHeight="1" x14ac:dyDescent="0.25">
      <c r="A65" s="143">
        <v>6</v>
      </c>
      <c r="B65" s="63" t="s">
        <v>65</v>
      </c>
      <c r="C65" s="942">
        <v>0</v>
      </c>
      <c r="D65" s="942">
        <v>0</v>
      </c>
      <c r="E65" s="1090">
        <v>1225876.5</v>
      </c>
      <c r="F65" s="942">
        <f>E65*32</f>
        <v>39228048</v>
      </c>
      <c r="G65" s="1092">
        <v>7355259</v>
      </c>
      <c r="H65" s="1092">
        <v>1985</v>
      </c>
      <c r="I65" s="819">
        <f t="shared" si="0"/>
        <v>32</v>
      </c>
      <c r="J65" s="819">
        <v>25</v>
      </c>
      <c r="K65" s="819">
        <f t="shared" si="3"/>
        <v>6</v>
      </c>
    </row>
    <row r="66" spans="1:11" s="334" customFormat="1" ht="17.100000000000001" customHeight="1" x14ac:dyDescent="0.25">
      <c r="A66" s="143">
        <v>7</v>
      </c>
      <c r="B66" s="63" t="s">
        <v>23</v>
      </c>
      <c r="C66" s="942">
        <v>0</v>
      </c>
      <c r="D66" s="942">
        <v>0</v>
      </c>
      <c r="E66" s="942">
        <v>0</v>
      </c>
      <c r="F66" s="942">
        <v>0</v>
      </c>
      <c r="G66" s="942">
        <v>0</v>
      </c>
      <c r="H66" s="942">
        <v>0</v>
      </c>
      <c r="I66" s="819"/>
      <c r="J66" s="819"/>
      <c r="K66" s="819"/>
    </row>
    <row r="67" spans="1:11" s="334" customFormat="1" ht="17.100000000000001" customHeight="1" x14ac:dyDescent="0.25">
      <c r="A67" s="143"/>
      <c r="B67" s="63" t="s">
        <v>75</v>
      </c>
      <c r="C67" s="942">
        <v>0</v>
      </c>
      <c r="D67" s="942">
        <v>0</v>
      </c>
      <c r="E67" s="1091"/>
      <c r="F67" s="1091"/>
      <c r="G67" s="1093">
        <v>40047330</v>
      </c>
      <c r="H67" s="1091"/>
      <c r="I67" s="819"/>
      <c r="J67" s="819"/>
      <c r="K67" s="819"/>
    </row>
    <row r="68" spans="1:11" s="334" customFormat="1" ht="17.100000000000001" customHeight="1" x14ac:dyDescent="0.25">
      <c r="A68" s="143"/>
      <c r="B68" s="63" t="s">
        <v>49</v>
      </c>
      <c r="C68" s="942">
        <v>0</v>
      </c>
      <c r="D68" s="942">
        <v>0</v>
      </c>
      <c r="E68" s="1091"/>
      <c r="F68" s="1091"/>
      <c r="G68" s="1093">
        <v>62082893</v>
      </c>
      <c r="H68" s="1091"/>
      <c r="I68" s="819"/>
      <c r="J68" s="819"/>
      <c r="K68" s="819"/>
    </row>
    <row r="69" spans="1:11" s="334" customFormat="1" ht="17.100000000000001" customHeight="1" x14ac:dyDescent="0.25">
      <c r="A69" s="1182" t="s">
        <v>50</v>
      </c>
      <c r="B69" s="1183"/>
      <c r="C69" s="335">
        <f>SUM(C60:C68)</f>
        <v>164</v>
      </c>
      <c r="D69" s="335">
        <f t="shared" ref="D69:H69" si="7">SUM(D60:D68)</f>
        <v>190.89</v>
      </c>
      <c r="E69" s="371">
        <f>SUM(E60:E68)</f>
        <v>9741261.0599999987</v>
      </c>
      <c r="F69" s="335">
        <f>SUM(F60:F68)</f>
        <v>3886629947.1499996</v>
      </c>
      <c r="G69" s="371">
        <f>SUM(G60:G68)</f>
        <v>907450926</v>
      </c>
      <c r="H69" s="335">
        <f t="shared" si="7"/>
        <v>28000</v>
      </c>
      <c r="I69" s="819"/>
      <c r="J69" s="819"/>
      <c r="K69" s="819"/>
    </row>
    <row r="70" spans="1:11" s="334" customFormat="1" ht="17.100000000000001" customHeight="1" x14ac:dyDescent="0.25">
      <c r="A70" s="353"/>
      <c r="B70" s="354"/>
      <c r="C70" s="354"/>
      <c r="D70" s="355"/>
      <c r="E70" s="355"/>
      <c r="F70" s="356"/>
      <c r="G70" s="356"/>
      <c r="H70" s="357"/>
      <c r="I70" s="819"/>
      <c r="J70" s="819"/>
      <c r="K70" s="819"/>
    </row>
    <row r="71" spans="1:11" s="334" customFormat="1" ht="17.100000000000001" customHeight="1" x14ac:dyDescent="0.25">
      <c r="A71" s="1188" t="s">
        <v>150</v>
      </c>
      <c r="B71" s="1188"/>
      <c r="C71" s="1188"/>
      <c r="D71" s="1188"/>
      <c r="E71" s="1188"/>
      <c r="F71" s="1188"/>
      <c r="G71" s="1188"/>
      <c r="H71" s="1188"/>
      <c r="I71" s="819"/>
      <c r="J71" s="819"/>
      <c r="K71" s="819"/>
    </row>
    <row r="72" spans="1:11" s="334" customFormat="1" ht="17.100000000000001" customHeight="1" x14ac:dyDescent="0.25">
      <c r="A72" s="1184" t="s">
        <v>182</v>
      </c>
      <c r="B72" s="1184" t="s">
        <v>3</v>
      </c>
      <c r="C72" s="1184" t="s">
        <v>4</v>
      </c>
      <c r="D72" s="336" t="s">
        <v>5</v>
      </c>
      <c r="E72" s="337" t="s">
        <v>6</v>
      </c>
      <c r="F72" s="338" t="s">
        <v>7</v>
      </c>
      <c r="G72" s="338" t="s">
        <v>8</v>
      </c>
      <c r="H72" s="337" t="s">
        <v>9</v>
      </c>
      <c r="I72" s="819"/>
      <c r="J72" s="819"/>
      <c r="K72" s="819"/>
    </row>
    <row r="73" spans="1:11" s="334" customFormat="1" ht="17.100000000000001" customHeight="1" x14ac:dyDescent="0.25">
      <c r="A73" s="1185"/>
      <c r="B73" s="1185"/>
      <c r="C73" s="1185"/>
      <c r="D73" s="302" t="s">
        <v>380</v>
      </c>
      <c r="E73" s="339" t="s">
        <v>79</v>
      </c>
      <c r="F73" s="340" t="s">
        <v>632</v>
      </c>
      <c r="G73" s="340" t="s">
        <v>671</v>
      </c>
      <c r="H73" s="303" t="s">
        <v>13</v>
      </c>
      <c r="I73" s="819"/>
      <c r="J73" s="819"/>
      <c r="K73" s="819"/>
    </row>
    <row r="74" spans="1:11" s="334" customFormat="1" ht="17.100000000000001" customHeight="1" x14ac:dyDescent="0.25">
      <c r="A74" s="143">
        <v>1</v>
      </c>
      <c r="B74" s="63" t="s">
        <v>62</v>
      </c>
      <c r="C74" s="942">
        <v>88</v>
      </c>
      <c r="D74" s="943">
        <v>151.82</v>
      </c>
      <c r="E74" s="942">
        <v>1240435</v>
      </c>
      <c r="F74" s="1030">
        <v>2294804491</v>
      </c>
      <c r="G74" s="1030">
        <v>284401020</v>
      </c>
      <c r="H74" s="942">
        <v>350</v>
      </c>
      <c r="I74" s="819">
        <v>1800</v>
      </c>
      <c r="J74" s="819">
        <v>1650.0000005521549</v>
      </c>
      <c r="K74" s="819">
        <f t="shared" ref="K74:K80" si="8">G74/E74</f>
        <v>229.27523006042236</v>
      </c>
    </row>
    <row r="75" spans="1:11" s="334" customFormat="1" ht="17.100000000000001" customHeight="1" x14ac:dyDescent="0.25">
      <c r="A75" s="143">
        <f>+A74+1</f>
        <v>2</v>
      </c>
      <c r="B75" s="63" t="s">
        <v>60</v>
      </c>
      <c r="C75" s="942">
        <v>3</v>
      </c>
      <c r="D75" s="942">
        <v>3.86</v>
      </c>
      <c r="E75" s="1030">
        <v>2616</v>
      </c>
      <c r="F75" s="942">
        <v>928722</v>
      </c>
      <c r="G75" s="1030">
        <v>379337</v>
      </c>
      <c r="H75" s="1030">
        <v>10</v>
      </c>
      <c r="I75" s="819">
        <f t="shared" ref="I75:I105" si="9">F75/E75</f>
        <v>355.01605504587155</v>
      </c>
      <c r="J75" s="819">
        <v>350</v>
      </c>
      <c r="K75" s="819">
        <f t="shared" si="8"/>
        <v>145.006498470948</v>
      </c>
    </row>
    <row r="76" spans="1:11" s="334" customFormat="1" ht="17.100000000000001" customHeight="1" x14ac:dyDescent="0.25">
      <c r="A76" s="143">
        <f>+A75+1</f>
        <v>3</v>
      </c>
      <c r="B76" s="63" t="s">
        <v>63</v>
      </c>
      <c r="C76" s="942">
        <v>59</v>
      </c>
      <c r="D76" s="942">
        <v>61.68</v>
      </c>
      <c r="E76" s="1030">
        <f>914890+28604</f>
        <v>943494</v>
      </c>
      <c r="F76" s="942">
        <f>192126952+5148806</f>
        <v>197275758</v>
      </c>
      <c r="G76" s="1030">
        <f>36649101+1001156</f>
        <v>37650257</v>
      </c>
      <c r="H76" s="1030">
        <v>258</v>
      </c>
      <c r="I76" s="819">
        <f t="shared" si="9"/>
        <v>209.090633326762</v>
      </c>
      <c r="J76" s="819">
        <v>179.99999760073581</v>
      </c>
      <c r="K76" s="819">
        <f t="shared" si="8"/>
        <v>39.905136651637427</v>
      </c>
    </row>
    <row r="77" spans="1:11" s="334" customFormat="1" ht="17.100000000000001" customHeight="1" x14ac:dyDescent="0.25">
      <c r="A77" s="143">
        <f t="shared" ref="A77:A82" si="10">+A76+1</f>
        <v>4</v>
      </c>
      <c r="B77" s="63" t="s">
        <v>59</v>
      </c>
      <c r="C77" s="942">
        <v>0</v>
      </c>
      <c r="D77" s="942">
        <v>0</v>
      </c>
      <c r="E77" s="942">
        <v>0</v>
      </c>
      <c r="F77" s="942">
        <v>0</v>
      </c>
      <c r="G77" s="942">
        <v>0</v>
      </c>
      <c r="H77" s="942">
        <v>0</v>
      </c>
      <c r="I77" s="819" t="e">
        <f t="shared" si="9"/>
        <v>#DIV/0!</v>
      </c>
      <c r="J77" s="819" t="e">
        <v>#DIV/0!</v>
      </c>
      <c r="K77" s="819" t="e">
        <f t="shared" si="8"/>
        <v>#DIV/0!</v>
      </c>
    </row>
    <row r="78" spans="1:11" s="334" customFormat="1" ht="17.100000000000001" customHeight="1" x14ac:dyDescent="0.25">
      <c r="A78" s="143">
        <f t="shared" si="10"/>
        <v>5</v>
      </c>
      <c r="B78" s="63" t="s">
        <v>54</v>
      </c>
      <c r="C78" s="942">
        <v>0</v>
      </c>
      <c r="D78" s="970">
        <v>0</v>
      </c>
      <c r="E78" s="942">
        <v>4356.0200000000004</v>
      </c>
      <c r="F78" s="1030">
        <v>958324</v>
      </c>
      <c r="G78" s="942">
        <v>273710</v>
      </c>
      <c r="H78" s="1030">
        <v>25</v>
      </c>
      <c r="I78" s="819">
        <f t="shared" si="9"/>
        <v>219.99990817305704</v>
      </c>
      <c r="J78" s="819">
        <v>220</v>
      </c>
      <c r="K78" s="819">
        <f t="shared" si="8"/>
        <v>62.834881382546449</v>
      </c>
    </row>
    <row r="79" spans="1:11" s="334" customFormat="1" ht="17.100000000000001" customHeight="1" x14ac:dyDescent="0.25">
      <c r="A79" s="143">
        <f t="shared" si="10"/>
        <v>6</v>
      </c>
      <c r="B79" s="274" t="s">
        <v>27</v>
      </c>
      <c r="C79" s="942">
        <v>1</v>
      </c>
      <c r="D79" s="942">
        <v>71.319999999999993</v>
      </c>
      <c r="E79" s="1030">
        <v>18004</v>
      </c>
      <c r="F79" s="942">
        <v>32407812</v>
      </c>
      <c r="G79" s="1030">
        <v>4054822</v>
      </c>
      <c r="H79" s="1030">
        <v>20</v>
      </c>
      <c r="I79" s="819">
        <f t="shared" si="9"/>
        <v>1800.0339924461232</v>
      </c>
      <c r="J79" s="819">
        <v>1800</v>
      </c>
      <c r="K79" s="819">
        <f t="shared" si="8"/>
        <v>225.21784047989337</v>
      </c>
    </row>
    <row r="80" spans="1:11" s="334" customFormat="1" ht="17.100000000000001" customHeight="1" x14ac:dyDescent="0.25">
      <c r="A80" s="143">
        <f t="shared" si="10"/>
        <v>7</v>
      </c>
      <c r="B80" s="274" t="s">
        <v>46</v>
      </c>
      <c r="C80" s="942">
        <v>1</v>
      </c>
      <c r="D80" s="942">
        <v>63.39</v>
      </c>
      <c r="E80" s="1030">
        <v>2786</v>
      </c>
      <c r="F80" s="942">
        <v>3901254</v>
      </c>
      <c r="G80" s="1030">
        <v>518716</v>
      </c>
      <c r="H80" s="1030">
        <v>20</v>
      </c>
      <c r="I80" s="819">
        <f t="shared" si="9"/>
        <v>1400.3065326633166</v>
      </c>
      <c r="J80" s="819">
        <v>1350</v>
      </c>
      <c r="K80" s="819">
        <f t="shared" si="8"/>
        <v>186.18664752333095</v>
      </c>
    </row>
    <row r="81" spans="1:13" s="334" customFormat="1" ht="17.100000000000001" customHeight="1" x14ac:dyDescent="0.25">
      <c r="A81" s="143">
        <v>8</v>
      </c>
      <c r="B81" s="273" t="s">
        <v>40</v>
      </c>
      <c r="C81" s="942">
        <v>4</v>
      </c>
      <c r="D81" s="942">
        <v>4.25</v>
      </c>
      <c r="E81" s="1030">
        <f>98776+457.57+728</f>
        <v>99961.57</v>
      </c>
      <c r="F81" s="942">
        <f>59265714+219633+131058</f>
        <v>59616405</v>
      </c>
      <c r="G81" s="1030">
        <f>13065774+47665+126899</f>
        <v>13240338</v>
      </c>
      <c r="H81" s="1030">
        <v>25</v>
      </c>
      <c r="I81" s="819">
        <f t="shared" si="9"/>
        <v>596.39324392363983</v>
      </c>
      <c r="J81" s="819"/>
      <c r="K81" s="819"/>
    </row>
    <row r="82" spans="1:13" s="334" customFormat="1" ht="17.100000000000001" customHeight="1" x14ac:dyDescent="0.25">
      <c r="A82" s="143">
        <f t="shared" si="10"/>
        <v>9</v>
      </c>
      <c r="B82" s="273" t="s">
        <v>58</v>
      </c>
      <c r="C82" s="942">
        <v>1</v>
      </c>
      <c r="D82" s="942">
        <v>1.55</v>
      </c>
      <c r="E82" s="1030">
        <v>389.44</v>
      </c>
      <c r="F82" s="942">
        <v>817824</v>
      </c>
      <c r="G82" s="1030">
        <v>82419</v>
      </c>
      <c r="H82" s="1030">
        <v>10</v>
      </c>
      <c r="I82" s="819"/>
      <c r="J82" s="819"/>
      <c r="K82" s="819"/>
    </row>
    <row r="83" spans="1:13" s="334" customFormat="1" ht="17.100000000000001" customHeight="1" x14ac:dyDescent="0.25">
      <c r="A83" s="143"/>
      <c r="B83" s="63" t="s">
        <v>75</v>
      </c>
      <c r="C83" s="942">
        <v>0</v>
      </c>
      <c r="D83" s="942">
        <v>0</v>
      </c>
      <c r="E83" s="942"/>
      <c r="F83" s="942"/>
      <c r="G83" s="942">
        <v>43098980</v>
      </c>
      <c r="H83" s="942"/>
      <c r="I83" s="819"/>
      <c r="J83" s="819"/>
      <c r="K83" s="819"/>
    </row>
    <row r="84" spans="1:13" s="334" customFormat="1" ht="17.100000000000001" customHeight="1" x14ac:dyDescent="0.25">
      <c r="A84" s="143"/>
      <c r="B84" s="63" t="s">
        <v>49</v>
      </c>
      <c r="C84" s="942">
        <v>0</v>
      </c>
      <c r="D84" s="942">
        <v>0</v>
      </c>
      <c r="E84" s="942"/>
      <c r="F84" s="942"/>
      <c r="G84" s="942">
        <v>91333372</v>
      </c>
      <c r="H84" s="942"/>
      <c r="I84" s="819"/>
      <c r="J84" s="819"/>
      <c r="K84" s="819"/>
    </row>
    <row r="85" spans="1:13" s="334" customFormat="1" ht="17.100000000000001" customHeight="1" x14ac:dyDescent="0.25">
      <c r="A85" s="1202" t="s">
        <v>50</v>
      </c>
      <c r="B85" s="1183"/>
      <c r="C85" s="358">
        <f>SUM(C74:C84)</f>
        <v>157</v>
      </c>
      <c r="D85" s="358">
        <f t="shared" ref="D85:H85" si="11">SUM(D74:D84)</f>
        <v>357.87</v>
      </c>
      <c r="E85" s="358">
        <f t="shared" si="11"/>
        <v>2312042.0299999998</v>
      </c>
      <c r="F85" s="358">
        <f t="shared" si="11"/>
        <v>2590710590</v>
      </c>
      <c r="G85" s="358">
        <f t="shared" si="11"/>
        <v>475032971</v>
      </c>
      <c r="H85" s="358">
        <f t="shared" si="11"/>
        <v>718</v>
      </c>
      <c r="I85" s="819"/>
      <c r="J85" s="819"/>
      <c r="K85" s="819"/>
    </row>
    <row r="86" spans="1:13" s="334" customFormat="1" ht="17.100000000000001" customHeight="1" x14ac:dyDescent="0.25">
      <c r="A86" s="186"/>
      <c r="B86" s="349"/>
      <c r="C86" s="349"/>
      <c r="D86" s="349"/>
      <c r="E86" s="349"/>
      <c r="F86" s="349"/>
      <c r="G86" s="349"/>
      <c r="H86" s="349"/>
      <c r="I86" s="819"/>
      <c r="J86" s="819"/>
      <c r="K86" s="819"/>
    </row>
    <row r="87" spans="1:13" s="334" customFormat="1" ht="17.100000000000001" customHeight="1" x14ac:dyDescent="0.25">
      <c r="A87" s="343"/>
      <c r="B87" s="349"/>
      <c r="C87" s="349"/>
      <c r="D87" s="350"/>
      <c r="E87" s="350"/>
      <c r="F87" s="351"/>
      <c r="G87" s="351"/>
      <c r="H87" s="347"/>
      <c r="I87" s="819"/>
      <c r="J87" s="819"/>
      <c r="K87" s="819"/>
    </row>
    <row r="88" spans="1:13" s="334" customFormat="1" ht="17.100000000000001" customHeight="1" x14ac:dyDescent="0.25">
      <c r="A88" s="1154" t="s">
        <v>140</v>
      </c>
      <c r="B88" s="1154"/>
      <c r="C88" s="1154"/>
      <c r="D88" s="1154"/>
      <c r="E88" s="1154"/>
      <c r="F88" s="1154"/>
      <c r="G88" s="1154"/>
      <c r="H88" s="1154"/>
      <c r="I88" s="819"/>
      <c r="J88" s="819"/>
      <c r="K88" s="819"/>
    </row>
    <row r="89" spans="1:13" s="334" customFormat="1" ht="17.100000000000001" customHeight="1" x14ac:dyDescent="0.25">
      <c r="A89" s="1184" t="s">
        <v>182</v>
      </c>
      <c r="B89" s="1184" t="s">
        <v>3</v>
      </c>
      <c r="C89" s="1184" t="s">
        <v>4</v>
      </c>
      <c r="D89" s="336" t="s">
        <v>5</v>
      </c>
      <c r="E89" s="337" t="s">
        <v>6</v>
      </c>
      <c r="F89" s="338" t="s">
        <v>7</v>
      </c>
      <c r="G89" s="338" t="s">
        <v>8</v>
      </c>
      <c r="H89" s="337" t="s">
        <v>9</v>
      </c>
      <c r="I89" s="819"/>
      <c r="J89" s="819"/>
      <c r="K89" s="819"/>
    </row>
    <row r="90" spans="1:13" s="334" customFormat="1" ht="17.100000000000001" customHeight="1" x14ac:dyDescent="0.25">
      <c r="A90" s="1185"/>
      <c r="B90" s="1185"/>
      <c r="C90" s="1185"/>
      <c r="D90" s="302" t="s">
        <v>380</v>
      </c>
      <c r="E90" s="339" t="s">
        <v>79</v>
      </c>
      <c r="F90" s="340" t="s">
        <v>632</v>
      </c>
      <c r="G90" s="340" t="s">
        <v>671</v>
      </c>
      <c r="H90" s="303" t="s">
        <v>13</v>
      </c>
      <c r="I90" s="819"/>
      <c r="J90" s="819"/>
      <c r="K90" s="819"/>
    </row>
    <row r="91" spans="1:13" s="334" customFormat="1" ht="17.100000000000001" customHeight="1" x14ac:dyDescent="0.25">
      <c r="A91" s="137">
        <v>1</v>
      </c>
      <c r="B91" s="166" t="s">
        <v>63</v>
      </c>
      <c r="C91" s="974">
        <v>41</v>
      </c>
      <c r="D91" s="974">
        <v>41.644300000000001</v>
      </c>
      <c r="E91" s="990">
        <v>342852</v>
      </c>
      <c r="F91" s="1030">
        <f>E91*210</f>
        <v>71998920</v>
      </c>
      <c r="G91" s="1031">
        <f>E91*40</f>
        <v>13714080</v>
      </c>
      <c r="H91" s="974">
        <v>150</v>
      </c>
      <c r="I91" s="819">
        <f t="shared" si="9"/>
        <v>210</v>
      </c>
      <c r="J91" s="819">
        <v>250</v>
      </c>
      <c r="K91" s="819">
        <f t="shared" ref="K91:K114" si="12">G91/E91</f>
        <v>40</v>
      </c>
      <c r="L91" s="1076" t="s">
        <v>666</v>
      </c>
      <c r="M91" s="1077">
        <v>431318.12</v>
      </c>
    </row>
    <row r="92" spans="1:13" s="334" customFormat="1" ht="17.100000000000001" customHeight="1" x14ac:dyDescent="0.25">
      <c r="A92" s="137">
        <v>2</v>
      </c>
      <c r="B92" s="166" t="s">
        <v>71</v>
      </c>
      <c r="C92" s="974">
        <v>2</v>
      </c>
      <c r="D92" s="974">
        <v>2</v>
      </c>
      <c r="E92" s="990">
        <v>0</v>
      </c>
      <c r="F92" s="1030">
        <v>0</v>
      </c>
      <c r="G92" s="1031">
        <v>0</v>
      </c>
      <c r="H92" s="974">
        <v>0</v>
      </c>
      <c r="I92" s="819" t="e">
        <f t="shared" si="9"/>
        <v>#DIV/0!</v>
      </c>
      <c r="J92" s="819">
        <v>800</v>
      </c>
      <c r="K92" s="819" t="e">
        <f t="shared" si="12"/>
        <v>#DIV/0!</v>
      </c>
      <c r="L92" s="1075" t="s">
        <v>615</v>
      </c>
      <c r="M92">
        <v>88461.37</v>
      </c>
    </row>
    <row r="93" spans="1:13" s="334" customFormat="1" ht="17.100000000000001" customHeight="1" x14ac:dyDescent="0.25">
      <c r="A93" s="137">
        <v>3</v>
      </c>
      <c r="B93" s="166" t="s">
        <v>59</v>
      </c>
      <c r="C93" s="974">
        <v>3</v>
      </c>
      <c r="D93" s="974">
        <v>850.14</v>
      </c>
      <c r="E93" s="990">
        <v>88461.37</v>
      </c>
      <c r="F93" s="1030">
        <f>E93*550</f>
        <v>48653753.5</v>
      </c>
      <c r="G93" s="1031">
        <f>E93*180</f>
        <v>15923046.6</v>
      </c>
      <c r="H93" s="974">
        <v>50</v>
      </c>
      <c r="I93" s="819">
        <v>300</v>
      </c>
      <c r="J93" s="819">
        <v>299.99833959468242</v>
      </c>
      <c r="K93" s="819">
        <f t="shared" si="12"/>
        <v>180</v>
      </c>
      <c r="L93" s="1075" t="s">
        <v>661</v>
      </c>
      <c r="M93">
        <v>342852.72</v>
      </c>
    </row>
    <row r="94" spans="1:13" s="334" customFormat="1" ht="17.100000000000001" customHeight="1" x14ac:dyDescent="0.25">
      <c r="A94" s="137">
        <v>4</v>
      </c>
      <c r="B94" s="166" t="s">
        <v>65</v>
      </c>
      <c r="C94" s="974">
        <v>0</v>
      </c>
      <c r="D94" s="974">
        <v>0</v>
      </c>
      <c r="E94" s="990">
        <v>385979.18599999999</v>
      </c>
      <c r="F94" s="1030">
        <v>13509271.461999999</v>
      </c>
      <c r="G94" s="1031">
        <v>2418683</v>
      </c>
      <c r="H94" s="974">
        <v>50</v>
      </c>
      <c r="I94" s="819">
        <f t="shared" si="9"/>
        <v>34.99999987564096</v>
      </c>
      <c r="J94" s="819">
        <v>30</v>
      </c>
      <c r="K94" s="819">
        <f t="shared" si="12"/>
        <v>6.2663560309182058</v>
      </c>
      <c r="L94" s="1075" t="s">
        <v>667</v>
      </c>
      <c r="M94">
        <v>4.03</v>
      </c>
    </row>
    <row r="95" spans="1:13" s="334" customFormat="1" ht="17.100000000000001" customHeight="1" x14ac:dyDescent="0.25">
      <c r="A95" s="137">
        <v>5</v>
      </c>
      <c r="B95" s="166" t="s">
        <v>44</v>
      </c>
      <c r="C95" s="974">
        <v>2</v>
      </c>
      <c r="D95" s="974">
        <v>2</v>
      </c>
      <c r="E95" s="974">
        <v>0</v>
      </c>
      <c r="F95" s="974">
        <v>0</v>
      </c>
      <c r="G95" s="974">
        <v>0</v>
      </c>
      <c r="H95" s="974">
        <v>0</v>
      </c>
      <c r="I95" s="819" t="e">
        <f t="shared" si="9"/>
        <v>#DIV/0!</v>
      </c>
      <c r="J95" s="819">
        <v>180</v>
      </c>
      <c r="K95" s="819" t="e">
        <f t="shared" si="12"/>
        <v>#DIV/0!</v>
      </c>
    </row>
    <row r="96" spans="1:13" s="334" customFormat="1" ht="17.100000000000001" customHeight="1" x14ac:dyDescent="0.25">
      <c r="A96" s="137"/>
      <c r="B96" s="166" t="s">
        <v>75</v>
      </c>
      <c r="C96" s="942">
        <v>0</v>
      </c>
      <c r="D96" s="942">
        <v>0</v>
      </c>
      <c r="E96" s="942"/>
      <c r="F96" s="942"/>
      <c r="G96" s="942">
        <v>71025686</v>
      </c>
      <c r="H96" s="942"/>
      <c r="I96" s="819"/>
      <c r="J96" s="819"/>
      <c r="K96" s="819"/>
    </row>
    <row r="97" spans="1:11" s="334" customFormat="1" ht="17.100000000000001" customHeight="1" x14ac:dyDescent="0.25">
      <c r="A97" s="137"/>
      <c r="B97" s="166" t="s">
        <v>49</v>
      </c>
      <c r="C97" s="942">
        <v>0</v>
      </c>
      <c r="D97" s="942">
        <v>0</v>
      </c>
      <c r="E97" s="942"/>
      <c r="F97" s="942"/>
      <c r="G97" s="942">
        <v>25869321</v>
      </c>
      <c r="H97" s="942"/>
      <c r="I97" s="819"/>
      <c r="J97" s="819"/>
      <c r="K97" s="819"/>
    </row>
    <row r="98" spans="1:11" s="334" customFormat="1" ht="17.100000000000001" customHeight="1" x14ac:dyDescent="0.25">
      <c r="A98" s="1182" t="s">
        <v>50</v>
      </c>
      <c r="B98" s="1183"/>
      <c r="C98" s="1032">
        <f>SUM(C89:C97)</f>
        <v>48</v>
      </c>
      <c r="D98" s="1032">
        <f t="shared" ref="D98:H98" si="13">SUM(D89:D97)</f>
        <v>895.78430000000003</v>
      </c>
      <c r="E98" s="1033">
        <f>SUM(E91:E97)</f>
        <v>817292.55599999998</v>
      </c>
      <c r="F98" s="1034">
        <f>SUM(F89:F97)</f>
        <v>134161944.962</v>
      </c>
      <c r="G98" s="1034">
        <f>SUM(G89:G97)</f>
        <v>128950816.59999999</v>
      </c>
      <c r="H98" s="1032">
        <f t="shared" si="13"/>
        <v>250</v>
      </c>
      <c r="I98" s="819"/>
      <c r="J98" s="819"/>
      <c r="K98" s="819"/>
    </row>
    <row r="99" spans="1:11" s="334" customFormat="1" ht="17.100000000000001" customHeight="1" x14ac:dyDescent="0.25">
      <c r="A99" s="137"/>
      <c r="B99" s="1047"/>
      <c r="C99" s="942"/>
      <c r="D99" s="942"/>
      <c r="E99" s="942"/>
      <c r="F99" s="942"/>
      <c r="G99" s="942"/>
      <c r="H99" s="942"/>
      <c r="I99" s="819"/>
      <c r="J99" s="819"/>
      <c r="K99" s="819"/>
    </row>
    <row r="100" spans="1:11" s="334" customFormat="1" ht="17.100000000000001" customHeight="1" x14ac:dyDescent="0.25">
      <c r="A100" s="1047"/>
      <c r="B100" s="1047"/>
      <c r="C100" s="1047"/>
      <c r="D100" s="1047"/>
      <c r="E100" s="1047"/>
      <c r="F100" s="1047"/>
      <c r="G100" s="1047"/>
      <c r="H100" s="1047"/>
      <c r="I100" s="819"/>
      <c r="J100" s="819"/>
      <c r="K100" s="819"/>
    </row>
    <row r="101" spans="1:11" s="387" customFormat="1" ht="17.100000000000001" customHeight="1" x14ac:dyDescent="0.25">
      <c r="A101" s="1189" t="s">
        <v>151</v>
      </c>
      <c r="B101" s="1189"/>
      <c r="C101" s="1189"/>
      <c r="D101" s="1189"/>
      <c r="E101" s="1189"/>
      <c r="F101" s="1189"/>
      <c r="G101" s="1189"/>
      <c r="H101" s="1189"/>
      <c r="I101" s="828"/>
      <c r="J101" s="819"/>
      <c r="K101" s="828"/>
    </row>
    <row r="102" spans="1:11" s="334" customFormat="1" ht="17.100000000000001" customHeight="1" x14ac:dyDescent="0.25">
      <c r="A102" s="1184" t="s">
        <v>182</v>
      </c>
      <c r="B102" s="1184" t="s">
        <v>3</v>
      </c>
      <c r="C102" s="1184" t="s">
        <v>4</v>
      </c>
      <c r="D102" s="336" t="s">
        <v>5</v>
      </c>
      <c r="E102" s="337" t="s">
        <v>6</v>
      </c>
      <c r="F102" s="338" t="s">
        <v>7</v>
      </c>
      <c r="G102" s="338" t="s">
        <v>8</v>
      </c>
      <c r="H102" s="337" t="s">
        <v>9</v>
      </c>
      <c r="I102" s="819"/>
      <c r="J102" s="819"/>
      <c r="K102" s="819"/>
    </row>
    <row r="103" spans="1:11" s="334" customFormat="1" ht="17.100000000000001" customHeight="1" x14ac:dyDescent="0.25">
      <c r="A103" s="1185"/>
      <c r="B103" s="1185"/>
      <c r="C103" s="1185"/>
      <c r="D103" s="302" t="s">
        <v>380</v>
      </c>
      <c r="E103" s="339" t="s">
        <v>79</v>
      </c>
      <c r="F103" s="340" t="s">
        <v>632</v>
      </c>
      <c r="G103" s="340" t="s">
        <v>671</v>
      </c>
      <c r="H103" s="303" t="s">
        <v>13</v>
      </c>
      <c r="I103" s="819"/>
      <c r="J103" s="819"/>
      <c r="K103" s="819"/>
    </row>
    <row r="104" spans="1:11" s="334" customFormat="1" ht="17.100000000000001" customHeight="1" x14ac:dyDescent="0.25">
      <c r="A104" s="145">
        <v>1</v>
      </c>
      <c r="B104" s="63" t="s">
        <v>58</v>
      </c>
      <c r="C104" s="942">
        <v>61</v>
      </c>
      <c r="D104" s="942">
        <v>151.66999999999999</v>
      </c>
      <c r="E104" s="1030">
        <v>106840</v>
      </c>
      <c r="F104" s="942">
        <v>229707634</v>
      </c>
      <c r="G104" s="1030">
        <v>66962590</v>
      </c>
      <c r="H104" s="1030">
        <v>875</v>
      </c>
      <c r="I104" s="819">
        <f t="shared" si="9"/>
        <v>2150.0152938974165</v>
      </c>
      <c r="J104" s="819">
        <v>2200</v>
      </c>
      <c r="K104" s="819">
        <f t="shared" si="12"/>
        <v>626.75580307001121</v>
      </c>
    </row>
    <row r="105" spans="1:11" s="334" customFormat="1" ht="17.100000000000001" customHeight="1" x14ac:dyDescent="0.25">
      <c r="A105" s="145">
        <v>2</v>
      </c>
      <c r="B105" s="63" t="s">
        <v>53</v>
      </c>
      <c r="C105" s="942">
        <v>36</v>
      </c>
      <c r="D105" s="942">
        <v>90.07</v>
      </c>
      <c r="E105" s="991">
        <v>444026</v>
      </c>
      <c r="F105" s="988">
        <v>288617394</v>
      </c>
      <c r="G105" s="1030">
        <v>90809769</v>
      </c>
      <c r="H105" s="1030">
        <v>325</v>
      </c>
      <c r="I105" s="819">
        <f t="shared" si="9"/>
        <v>650.00111254746344</v>
      </c>
      <c r="J105" s="819">
        <v>700</v>
      </c>
      <c r="K105" s="819">
        <f t="shared" si="12"/>
        <v>204.51453068063583</v>
      </c>
    </row>
    <row r="106" spans="1:11" s="334" customFormat="1" ht="17.100000000000001" customHeight="1" x14ac:dyDescent="0.25">
      <c r="A106" s="145">
        <v>3</v>
      </c>
      <c r="B106" s="63" t="s">
        <v>71</v>
      </c>
      <c r="C106" s="942">
        <v>1</v>
      </c>
      <c r="D106" s="942">
        <v>2</v>
      </c>
      <c r="E106" s="992">
        <v>940</v>
      </c>
      <c r="F106" s="988">
        <v>705000</v>
      </c>
      <c r="G106" s="1030">
        <v>140000</v>
      </c>
      <c r="H106" s="1030">
        <v>2</v>
      </c>
      <c r="I106" s="819">
        <f t="shared" ref="I106:I133" si="14">F106/E106</f>
        <v>750</v>
      </c>
      <c r="J106" s="819">
        <v>750</v>
      </c>
      <c r="K106" s="819">
        <f t="shared" si="12"/>
        <v>148.93617021276594</v>
      </c>
    </row>
    <row r="107" spans="1:11" s="334" customFormat="1" ht="17.100000000000001" customHeight="1" x14ac:dyDescent="0.25">
      <c r="A107" s="145">
        <v>4</v>
      </c>
      <c r="B107" s="63" t="s">
        <v>189</v>
      </c>
      <c r="C107" s="942">
        <v>401</v>
      </c>
      <c r="D107" s="942">
        <v>429.65</v>
      </c>
      <c r="E107" s="993">
        <v>5929888</v>
      </c>
      <c r="F107" s="988">
        <v>1245276638</v>
      </c>
      <c r="G107" s="1030">
        <v>401424299</v>
      </c>
      <c r="H107" s="1030">
        <v>3025</v>
      </c>
      <c r="I107" s="819">
        <f t="shared" si="14"/>
        <v>210.00002664468536</v>
      </c>
      <c r="J107" s="819">
        <v>189.99999999999997</v>
      </c>
      <c r="K107" s="819">
        <f t="shared" si="12"/>
        <v>67.695089519397328</v>
      </c>
    </row>
    <row r="108" spans="1:11" s="334" customFormat="1" ht="17.100000000000001" customHeight="1" x14ac:dyDescent="0.25">
      <c r="A108" s="145">
        <v>5</v>
      </c>
      <c r="B108" s="63" t="s">
        <v>190</v>
      </c>
      <c r="C108" s="942">
        <v>10</v>
      </c>
      <c r="D108" s="942">
        <v>24.95</v>
      </c>
      <c r="E108" s="991">
        <v>17286</v>
      </c>
      <c r="F108" s="988">
        <v>11236114</v>
      </c>
      <c r="G108" s="1030">
        <v>2875723</v>
      </c>
      <c r="H108" s="1030">
        <v>30</v>
      </c>
      <c r="I108" s="819">
        <f t="shared" si="14"/>
        <v>650.01237996066186</v>
      </c>
      <c r="J108" s="819">
        <v>700</v>
      </c>
      <c r="K108" s="819">
        <f t="shared" si="12"/>
        <v>166.36139072081454</v>
      </c>
    </row>
    <row r="109" spans="1:11" s="334" customFormat="1" ht="17.100000000000001" customHeight="1" x14ac:dyDescent="0.25">
      <c r="A109" s="145">
        <v>6</v>
      </c>
      <c r="B109" s="63" t="s">
        <v>59</v>
      </c>
      <c r="C109" s="942">
        <v>2</v>
      </c>
      <c r="D109" s="976">
        <v>8208.2999999999993</v>
      </c>
      <c r="E109" s="991">
        <v>1973013</v>
      </c>
      <c r="F109" s="977">
        <v>1085157414</v>
      </c>
      <c r="G109" s="1030">
        <v>127684293</v>
      </c>
      <c r="H109" s="1030">
        <v>200</v>
      </c>
      <c r="I109" s="819">
        <v>290</v>
      </c>
      <c r="J109" s="819">
        <v>285.00000007374479</v>
      </c>
      <c r="K109" s="819">
        <f t="shared" si="12"/>
        <v>64.715383527630081</v>
      </c>
    </row>
    <row r="110" spans="1:11" s="334" customFormat="1" ht="17.100000000000001" customHeight="1" x14ac:dyDescent="0.25">
      <c r="A110" s="145">
        <v>7</v>
      </c>
      <c r="B110" s="274" t="s">
        <v>26</v>
      </c>
      <c r="C110" s="942">
        <v>2</v>
      </c>
      <c r="D110" s="976">
        <v>10</v>
      </c>
      <c r="E110" s="1030">
        <v>0</v>
      </c>
      <c r="F110" s="1030">
        <v>0</v>
      </c>
      <c r="G110" s="1030">
        <v>280705</v>
      </c>
      <c r="H110" s="1030">
        <v>2</v>
      </c>
      <c r="I110" s="819" t="e">
        <f t="shared" si="14"/>
        <v>#DIV/0!</v>
      </c>
      <c r="J110" s="819">
        <v>450</v>
      </c>
      <c r="K110" s="819" t="e">
        <f t="shared" si="12"/>
        <v>#DIV/0!</v>
      </c>
    </row>
    <row r="111" spans="1:11" s="334" customFormat="1" ht="17.100000000000001" customHeight="1" x14ac:dyDescent="0.25">
      <c r="A111" s="145">
        <v>8</v>
      </c>
      <c r="B111" s="274" t="s">
        <v>31</v>
      </c>
      <c r="C111" s="942">
        <v>2</v>
      </c>
      <c r="D111" s="976">
        <v>340.68</v>
      </c>
      <c r="E111" s="1030">
        <v>923446</v>
      </c>
      <c r="F111" s="1030">
        <v>629584590</v>
      </c>
      <c r="G111" s="1030">
        <v>166149943</v>
      </c>
      <c r="H111" s="1030">
        <v>330</v>
      </c>
      <c r="I111" s="819">
        <f t="shared" si="14"/>
        <v>681.77737517949072</v>
      </c>
      <c r="J111" s="819">
        <v>750</v>
      </c>
      <c r="K111" s="819">
        <f t="shared" si="12"/>
        <v>179.92383203782353</v>
      </c>
    </row>
    <row r="112" spans="1:11" s="334" customFormat="1" ht="17.100000000000001" customHeight="1" x14ac:dyDescent="0.25">
      <c r="A112" s="145">
        <v>9</v>
      </c>
      <c r="B112" s="274" t="s">
        <v>44</v>
      </c>
      <c r="C112" s="942">
        <v>9</v>
      </c>
      <c r="D112" s="976">
        <v>40.5</v>
      </c>
      <c r="E112" s="1030">
        <v>383538</v>
      </c>
      <c r="F112" s="1030">
        <v>191769410</v>
      </c>
      <c r="G112" s="1030">
        <v>3394671</v>
      </c>
      <c r="H112" s="1030">
        <v>35</v>
      </c>
      <c r="I112" s="819">
        <v>780</v>
      </c>
      <c r="J112" s="819">
        <v>900</v>
      </c>
      <c r="K112" s="819">
        <f t="shared" si="12"/>
        <v>8.8509378470972884</v>
      </c>
    </row>
    <row r="113" spans="1:11" s="334" customFormat="1" ht="17.100000000000001" customHeight="1" x14ac:dyDescent="0.25">
      <c r="A113" s="145">
        <v>10</v>
      </c>
      <c r="B113" s="274" t="s">
        <v>203</v>
      </c>
      <c r="C113" s="942">
        <v>1</v>
      </c>
      <c r="D113" s="976">
        <v>1</v>
      </c>
      <c r="E113" s="1030">
        <v>0</v>
      </c>
      <c r="F113" s="1030">
        <v>0</v>
      </c>
      <c r="G113" s="1030">
        <v>40000</v>
      </c>
      <c r="H113" s="1030">
        <v>2</v>
      </c>
      <c r="I113" s="819" t="e">
        <f t="shared" si="14"/>
        <v>#DIV/0!</v>
      </c>
      <c r="J113" s="819">
        <v>200</v>
      </c>
      <c r="K113" s="819" t="e">
        <f t="shared" si="12"/>
        <v>#DIV/0!</v>
      </c>
    </row>
    <row r="114" spans="1:11" s="334" customFormat="1" ht="17.100000000000001" customHeight="1" x14ac:dyDescent="0.25">
      <c r="A114" s="145">
        <v>11</v>
      </c>
      <c r="B114" s="274" t="s">
        <v>65</v>
      </c>
      <c r="C114" s="942">
        <v>0</v>
      </c>
      <c r="D114" s="942">
        <v>0</v>
      </c>
      <c r="E114" s="942"/>
      <c r="F114" s="942"/>
      <c r="G114" s="942"/>
      <c r="H114" s="942"/>
      <c r="I114" s="819" t="e">
        <f t="shared" si="14"/>
        <v>#DIV/0!</v>
      </c>
      <c r="J114" s="819" t="e">
        <v>#DIV/0!</v>
      </c>
      <c r="K114" s="819" t="e">
        <f t="shared" si="12"/>
        <v>#DIV/0!</v>
      </c>
    </row>
    <row r="115" spans="1:11" s="334" customFormat="1" ht="17.100000000000001" customHeight="1" x14ac:dyDescent="0.25">
      <c r="A115" s="145">
        <v>12</v>
      </c>
      <c r="B115" s="274" t="s">
        <v>194</v>
      </c>
      <c r="C115" s="942">
        <v>3</v>
      </c>
      <c r="D115" s="976">
        <v>6</v>
      </c>
      <c r="E115" s="1030">
        <v>237037</v>
      </c>
      <c r="F115" s="1030">
        <v>47407492</v>
      </c>
      <c r="G115" s="1030">
        <v>7615408</v>
      </c>
      <c r="H115" s="1030">
        <v>8</v>
      </c>
      <c r="I115" s="819">
        <f t="shared" si="14"/>
        <v>200.00038812506065</v>
      </c>
      <c r="J115" s="819">
        <v>199.99999999999997</v>
      </c>
      <c r="K115" s="819">
        <f t="shared" ref="K115:K133" si="15">G115/E115</f>
        <v>32.12750751992305</v>
      </c>
    </row>
    <row r="116" spans="1:11" s="334" customFormat="1" ht="17.100000000000001" customHeight="1" x14ac:dyDescent="0.25">
      <c r="A116" s="145"/>
      <c r="B116" s="63" t="s">
        <v>75</v>
      </c>
      <c r="C116" s="942">
        <v>0</v>
      </c>
      <c r="D116" s="942">
        <v>0</v>
      </c>
      <c r="E116" s="942"/>
      <c r="F116" s="942"/>
      <c r="G116" s="942">
        <v>65653345</v>
      </c>
      <c r="H116" s="942"/>
      <c r="I116" s="819"/>
      <c r="J116" s="819"/>
      <c r="K116" s="819"/>
    </row>
    <row r="117" spans="1:11" s="334" customFormat="1" ht="17.100000000000001" customHeight="1" x14ac:dyDescent="0.25">
      <c r="A117" s="145"/>
      <c r="B117" s="63" t="s">
        <v>49</v>
      </c>
      <c r="C117" s="942">
        <v>0</v>
      </c>
      <c r="D117" s="942">
        <v>0</v>
      </c>
      <c r="E117" s="942"/>
      <c r="F117" s="942"/>
      <c r="G117" s="942">
        <v>99083920</v>
      </c>
      <c r="H117" s="942"/>
      <c r="I117" s="819"/>
      <c r="J117" s="819"/>
      <c r="K117" s="819"/>
    </row>
    <row r="118" spans="1:11" s="334" customFormat="1" ht="17.100000000000001" customHeight="1" x14ac:dyDescent="0.25">
      <c r="A118" s="1182" t="s">
        <v>50</v>
      </c>
      <c r="B118" s="1183"/>
      <c r="C118" s="335">
        <f>SUM(C104:C117)</f>
        <v>528</v>
      </c>
      <c r="D118" s="335">
        <f t="shared" ref="D118:H118" si="16">SUM(D104:D117)</f>
        <v>9304.82</v>
      </c>
      <c r="E118" s="371">
        <f>SUM(E104:E117)</f>
        <v>10016014</v>
      </c>
      <c r="F118" s="335">
        <f>SUM(F104:F117)</f>
        <v>3729461686</v>
      </c>
      <c r="G118" s="371">
        <f>SUM(G104:G117)</f>
        <v>1032114666</v>
      </c>
      <c r="H118" s="335">
        <f t="shared" si="16"/>
        <v>4834</v>
      </c>
      <c r="I118" s="819"/>
      <c r="J118" s="819"/>
      <c r="K118" s="819"/>
    </row>
    <row r="119" spans="1:11" s="334" customFormat="1" ht="17.100000000000001" customHeight="1" x14ac:dyDescent="0.25">
      <c r="A119" s="343"/>
      <c r="B119" s="344"/>
      <c r="C119" s="344"/>
      <c r="D119" s="345"/>
      <c r="E119" s="345"/>
      <c r="F119" s="346"/>
      <c r="G119" s="346"/>
      <c r="H119" s="347"/>
      <c r="I119" s="819"/>
      <c r="J119" s="819"/>
      <c r="K119" s="819"/>
    </row>
    <row r="120" spans="1:11" s="387" customFormat="1" ht="17.100000000000001" customHeight="1" x14ac:dyDescent="0.25">
      <c r="A120" s="1189" t="s">
        <v>191</v>
      </c>
      <c r="B120" s="1189"/>
      <c r="C120" s="1189"/>
      <c r="D120" s="1189"/>
      <c r="E120" s="1189"/>
      <c r="F120" s="1189"/>
      <c r="G120" s="1189"/>
      <c r="H120" s="1189"/>
      <c r="I120" s="828"/>
      <c r="J120" s="819"/>
      <c r="K120" s="828"/>
    </row>
    <row r="121" spans="1:11" s="334" customFormat="1" ht="17.100000000000001" customHeight="1" x14ac:dyDescent="0.25">
      <c r="A121" s="1184" t="s">
        <v>182</v>
      </c>
      <c r="B121" s="1184" t="s">
        <v>3</v>
      </c>
      <c r="C121" s="1184" t="s">
        <v>4</v>
      </c>
      <c r="D121" s="336" t="s">
        <v>5</v>
      </c>
      <c r="E121" s="337" t="s">
        <v>6</v>
      </c>
      <c r="F121" s="338" t="s">
        <v>7</v>
      </c>
      <c r="G121" s="338" t="s">
        <v>8</v>
      </c>
      <c r="H121" s="337" t="s">
        <v>9</v>
      </c>
      <c r="I121" s="819"/>
      <c r="J121" s="819"/>
      <c r="K121" s="819"/>
    </row>
    <row r="122" spans="1:11" s="334" customFormat="1" ht="17.100000000000001" customHeight="1" x14ac:dyDescent="0.25">
      <c r="A122" s="1185"/>
      <c r="B122" s="1185"/>
      <c r="C122" s="1185"/>
      <c r="D122" s="302" t="s">
        <v>380</v>
      </c>
      <c r="E122" s="339" t="s">
        <v>79</v>
      </c>
      <c r="F122" s="340" t="s">
        <v>632</v>
      </c>
      <c r="G122" s="340" t="s">
        <v>671</v>
      </c>
      <c r="H122" s="303" t="s">
        <v>13</v>
      </c>
      <c r="I122" s="819"/>
      <c r="J122" s="819"/>
      <c r="K122" s="819"/>
    </row>
    <row r="123" spans="1:11" s="334" customFormat="1" ht="17.100000000000001" customHeight="1" x14ac:dyDescent="0.25">
      <c r="A123" s="143">
        <v>1</v>
      </c>
      <c r="B123" s="63" t="s">
        <v>62</v>
      </c>
      <c r="C123" s="942">
        <v>1</v>
      </c>
      <c r="D123" s="943">
        <v>4</v>
      </c>
      <c r="E123" s="942">
        <v>0</v>
      </c>
      <c r="F123" s="1030">
        <v>0</v>
      </c>
      <c r="G123" s="1030">
        <v>0</v>
      </c>
      <c r="H123" s="942">
        <v>0</v>
      </c>
      <c r="I123" s="819"/>
      <c r="J123" s="819"/>
      <c r="K123" s="819"/>
    </row>
    <row r="124" spans="1:11" s="334" customFormat="1" ht="17.100000000000001" customHeight="1" x14ac:dyDescent="0.25">
      <c r="A124" s="143">
        <f t="shared" ref="A124:A125" si="17">+A123+1</f>
        <v>2</v>
      </c>
      <c r="B124" s="63" t="s">
        <v>58</v>
      </c>
      <c r="C124" s="942">
        <v>56</v>
      </c>
      <c r="D124" s="943">
        <v>98.73</v>
      </c>
      <c r="E124" s="942">
        <v>78706</v>
      </c>
      <c r="F124" s="1030">
        <v>169217900</v>
      </c>
      <c r="G124" s="1030">
        <v>22819288</v>
      </c>
      <c r="H124" s="942">
        <v>45</v>
      </c>
      <c r="I124" s="819">
        <f t="shared" si="14"/>
        <v>2150</v>
      </c>
      <c r="J124" s="819">
        <v>2100</v>
      </c>
      <c r="K124" s="819">
        <f t="shared" si="15"/>
        <v>289.93072955047899</v>
      </c>
    </row>
    <row r="125" spans="1:11" s="334" customFormat="1" ht="17.100000000000001" customHeight="1" x14ac:dyDescent="0.25">
      <c r="A125" s="143">
        <f t="shared" si="17"/>
        <v>3</v>
      </c>
      <c r="B125" s="63" t="s">
        <v>146</v>
      </c>
      <c r="C125" s="942">
        <v>81</v>
      </c>
      <c r="D125" s="943">
        <v>85.18</v>
      </c>
      <c r="E125" s="942">
        <v>761261</v>
      </c>
      <c r="F125" s="1030">
        <v>159864810</v>
      </c>
      <c r="G125" s="1030">
        <v>26644149</v>
      </c>
      <c r="H125" s="942">
        <v>144</v>
      </c>
      <c r="I125" s="819">
        <f t="shared" si="14"/>
        <v>210</v>
      </c>
      <c r="J125" s="819">
        <v>180</v>
      </c>
      <c r="K125" s="819">
        <f t="shared" si="15"/>
        <v>35.000018390538855</v>
      </c>
    </row>
    <row r="126" spans="1:11" s="334" customFormat="1" ht="17.100000000000001" customHeight="1" x14ac:dyDescent="0.25">
      <c r="A126" s="143">
        <v>4</v>
      </c>
      <c r="B126" s="63" t="s">
        <v>184</v>
      </c>
      <c r="C126" s="942">
        <v>1</v>
      </c>
      <c r="D126" s="943">
        <v>1677</v>
      </c>
      <c r="E126" s="942">
        <v>500836</v>
      </c>
      <c r="F126" s="1030">
        <v>275459800</v>
      </c>
      <c r="G126" s="1030">
        <v>22537620</v>
      </c>
      <c r="H126" s="942">
        <v>45</v>
      </c>
      <c r="I126" s="819">
        <f t="shared" si="14"/>
        <v>550</v>
      </c>
      <c r="J126" s="819">
        <v>300</v>
      </c>
      <c r="K126" s="819">
        <f t="shared" si="15"/>
        <v>45</v>
      </c>
    </row>
    <row r="127" spans="1:11" s="334" customFormat="1" ht="17.100000000000001" customHeight="1" x14ac:dyDescent="0.25">
      <c r="A127" s="143">
        <v>5</v>
      </c>
      <c r="B127" s="63" t="s">
        <v>186</v>
      </c>
      <c r="C127" s="942">
        <v>0</v>
      </c>
      <c r="D127" s="943">
        <v>0</v>
      </c>
      <c r="E127" s="942">
        <v>122800</v>
      </c>
      <c r="F127" s="1030">
        <v>84609200</v>
      </c>
      <c r="G127" s="1030">
        <v>4320065</v>
      </c>
      <c r="H127" s="942">
        <v>104</v>
      </c>
      <c r="I127" s="819">
        <f t="shared" si="14"/>
        <v>689</v>
      </c>
      <c r="J127" s="819">
        <v>680</v>
      </c>
      <c r="K127" s="819">
        <f t="shared" si="15"/>
        <v>35.179682410423453</v>
      </c>
    </row>
    <row r="128" spans="1:11" s="334" customFormat="1" ht="17.100000000000001" customHeight="1" x14ac:dyDescent="0.25">
      <c r="A128" s="143">
        <v>6</v>
      </c>
      <c r="B128" s="63" t="s">
        <v>35</v>
      </c>
      <c r="C128" s="942">
        <v>4</v>
      </c>
      <c r="D128" s="943">
        <v>15.76</v>
      </c>
      <c r="E128" s="942">
        <v>41793</v>
      </c>
      <c r="F128" s="1030">
        <v>14627550</v>
      </c>
      <c r="G128" s="1030">
        <v>6060131</v>
      </c>
      <c r="H128" s="942">
        <v>14</v>
      </c>
      <c r="I128" s="819">
        <f t="shared" si="14"/>
        <v>350</v>
      </c>
      <c r="J128" s="819">
        <v>350</v>
      </c>
      <c r="K128" s="819">
        <f t="shared" si="15"/>
        <v>145.00349340798698</v>
      </c>
    </row>
    <row r="129" spans="1:11" s="334" customFormat="1" ht="17.100000000000001" customHeight="1" x14ac:dyDescent="0.25">
      <c r="A129" s="143">
        <v>7</v>
      </c>
      <c r="B129" s="63" t="s">
        <v>133</v>
      </c>
      <c r="C129" s="942">
        <v>0</v>
      </c>
      <c r="D129" s="943">
        <v>0</v>
      </c>
      <c r="E129" s="942">
        <v>29400</v>
      </c>
      <c r="F129" s="1030">
        <v>6174000</v>
      </c>
      <c r="G129" s="1030">
        <v>940800</v>
      </c>
      <c r="H129" s="942">
        <v>24</v>
      </c>
      <c r="I129" s="819">
        <f t="shared" si="14"/>
        <v>210</v>
      </c>
      <c r="J129" s="819" t="e">
        <v>#DIV/0!</v>
      </c>
      <c r="K129" s="819">
        <f t="shared" si="15"/>
        <v>32</v>
      </c>
    </row>
    <row r="130" spans="1:11" s="334" customFormat="1" ht="17.100000000000001" customHeight="1" x14ac:dyDescent="0.25">
      <c r="A130" s="143">
        <v>8</v>
      </c>
      <c r="B130" s="359" t="s">
        <v>192</v>
      </c>
      <c r="C130" s="942">
        <v>7</v>
      </c>
      <c r="D130" s="943">
        <v>14.5</v>
      </c>
      <c r="E130" s="942">
        <v>7221</v>
      </c>
      <c r="F130" s="1030">
        <v>10831500</v>
      </c>
      <c r="G130" s="1030">
        <v>1299870</v>
      </c>
      <c r="H130" s="942">
        <v>14</v>
      </c>
      <c r="I130" s="819">
        <f t="shared" si="14"/>
        <v>1500</v>
      </c>
      <c r="J130" s="819">
        <v>680</v>
      </c>
      <c r="K130" s="819">
        <f t="shared" si="15"/>
        <v>180.01246364769423</v>
      </c>
    </row>
    <row r="131" spans="1:11" s="334" customFormat="1" ht="17.100000000000001" customHeight="1" x14ac:dyDescent="0.25">
      <c r="A131" s="143">
        <v>9</v>
      </c>
      <c r="B131" s="360" t="s">
        <v>670</v>
      </c>
      <c r="C131" s="942">
        <v>1</v>
      </c>
      <c r="D131" s="942">
        <v>4.8</v>
      </c>
      <c r="E131" s="942">
        <v>8173</v>
      </c>
      <c r="F131" s="942">
        <v>2043250</v>
      </c>
      <c r="G131" s="942">
        <v>367827</v>
      </c>
      <c r="H131" s="942">
        <v>4</v>
      </c>
      <c r="I131" s="819">
        <f t="shared" si="14"/>
        <v>250</v>
      </c>
      <c r="J131" s="819">
        <v>480</v>
      </c>
      <c r="K131" s="819">
        <f t="shared" si="15"/>
        <v>45.005138871895262</v>
      </c>
    </row>
    <row r="132" spans="1:11" s="334" customFormat="1" ht="17.100000000000001" customHeight="1" x14ac:dyDescent="0.25">
      <c r="A132" s="143">
        <v>10</v>
      </c>
      <c r="B132" s="273" t="s">
        <v>41</v>
      </c>
      <c r="C132" s="942">
        <v>233</v>
      </c>
      <c r="D132" s="942">
        <v>1120.5999999999999</v>
      </c>
      <c r="E132" s="942">
        <v>3270739</v>
      </c>
      <c r="F132" s="942">
        <v>1579766937</v>
      </c>
      <c r="G132" s="942">
        <v>373129024</v>
      </c>
      <c r="H132" s="942">
        <v>600</v>
      </c>
      <c r="I132" s="819">
        <f t="shared" si="14"/>
        <v>483</v>
      </c>
      <c r="J132" s="819" t="e">
        <v>#DIV/0!</v>
      </c>
      <c r="K132" s="819">
        <f t="shared" si="15"/>
        <v>114.08095357043163</v>
      </c>
    </row>
    <row r="133" spans="1:11" s="334" customFormat="1" ht="17.100000000000001" customHeight="1" x14ac:dyDescent="0.25">
      <c r="A133" s="143">
        <v>11</v>
      </c>
      <c r="B133" s="273" t="s">
        <v>65</v>
      </c>
      <c r="C133" s="942">
        <v>0</v>
      </c>
      <c r="D133" s="942">
        <v>0</v>
      </c>
      <c r="E133" s="942">
        <v>545358</v>
      </c>
      <c r="F133" s="942">
        <v>13633950</v>
      </c>
      <c r="G133" s="942">
        <v>1022469</v>
      </c>
      <c r="H133" s="942">
        <v>4</v>
      </c>
      <c r="I133" s="819">
        <f t="shared" si="14"/>
        <v>25</v>
      </c>
      <c r="J133" s="819"/>
      <c r="K133" s="819">
        <f t="shared" si="15"/>
        <v>1.8748583499279372</v>
      </c>
    </row>
    <row r="134" spans="1:11" s="334" customFormat="1" ht="17.100000000000001" customHeight="1" x14ac:dyDescent="0.25">
      <c r="A134" s="143"/>
      <c r="B134" s="63" t="s">
        <v>75</v>
      </c>
      <c r="C134" s="942">
        <v>0</v>
      </c>
      <c r="D134" s="942">
        <v>0</v>
      </c>
      <c r="E134" s="942"/>
      <c r="F134" s="942"/>
      <c r="G134" s="942"/>
      <c r="H134" s="942"/>
      <c r="I134" s="819"/>
      <c r="J134" s="819"/>
      <c r="K134" s="819"/>
    </row>
    <row r="135" spans="1:11" s="334" customFormat="1" ht="17.100000000000001" customHeight="1" x14ac:dyDescent="0.25">
      <c r="A135" s="143"/>
      <c r="B135" s="63" t="s">
        <v>49</v>
      </c>
      <c r="C135" s="942">
        <v>0</v>
      </c>
      <c r="D135" s="942">
        <v>0</v>
      </c>
      <c r="E135" s="942"/>
      <c r="F135" s="942"/>
      <c r="G135" s="942">
        <v>13103829</v>
      </c>
      <c r="H135" s="942"/>
      <c r="I135" s="819"/>
      <c r="J135" s="819"/>
      <c r="K135" s="819"/>
    </row>
    <row r="136" spans="1:11" s="334" customFormat="1" ht="17.100000000000001" customHeight="1" thickBot="1" x14ac:dyDescent="0.3">
      <c r="A136" s="1182" t="s">
        <v>50</v>
      </c>
      <c r="B136" s="1183"/>
      <c r="C136" s="972">
        <f>SUM(C123:C135)</f>
        <v>384</v>
      </c>
      <c r="D136" s="972">
        <f t="shared" ref="D136:H136" si="18">SUM(D123:D135)</f>
        <v>3020.5699999999997</v>
      </c>
      <c r="E136" s="972">
        <f t="shared" si="18"/>
        <v>5366287</v>
      </c>
      <c r="F136" s="972">
        <f t="shared" si="18"/>
        <v>2316228897</v>
      </c>
      <c r="G136" s="625">
        <f>SUM(G123:G135)</f>
        <v>472245072</v>
      </c>
      <c r="H136" s="348">
        <f t="shared" si="18"/>
        <v>998</v>
      </c>
      <c r="I136" s="819"/>
      <c r="J136" s="819"/>
      <c r="K136" s="819"/>
    </row>
    <row r="137" spans="1:11" s="334" customFormat="1" ht="17.100000000000001" customHeight="1" thickBot="1" x14ac:dyDescent="0.3">
      <c r="A137" s="343"/>
      <c r="B137" s="344"/>
      <c r="D137" s="979"/>
      <c r="E137" s="1204" t="s">
        <v>643</v>
      </c>
      <c r="F137" s="1204"/>
      <c r="G137" s="1205"/>
      <c r="H137" s="347"/>
      <c r="I137" s="819"/>
      <c r="J137" s="819"/>
      <c r="K137" s="819"/>
    </row>
    <row r="138" spans="1:11" s="334" customFormat="1" ht="17.100000000000001" customHeight="1" x14ac:dyDescent="0.25">
      <c r="A138" s="343"/>
      <c r="B138" s="344"/>
      <c r="C138" s="344"/>
      <c r="D138" s="345"/>
      <c r="E138" s="345"/>
      <c r="F138" s="346"/>
      <c r="G138" s="346"/>
      <c r="H138" s="347"/>
      <c r="I138" s="819"/>
      <c r="J138" s="819"/>
      <c r="K138" s="819"/>
    </row>
    <row r="139" spans="1:11" s="387" customFormat="1" ht="17.100000000000001" customHeight="1" x14ac:dyDescent="0.25">
      <c r="A139" s="1189" t="s">
        <v>141</v>
      </c>
      <c r="B139" s="1189"/>
      <c r="C139" s="1189"/>
      <c r="D139" s="1189"/>
      <c r="E139" s="1189"/>
      <c r="F139" s="1189"/>
      <c r="G139" s="1189"/>
      <c r="H139" s="1189"/>
      <c r="I139" s="828"/>
      <c r="J139" s="819"/>
      <c r="K139" s="828"/>
    </row>
    <row r="140" spans="1:11" s="334" customFormat="1" ht="17.100000000000001" customHeight="1" x14ac:dyDescent="0.25">
      <c r="A140" s="1184" t="s">
        <v>182</v>
      </c>
      <c r="B140" s="1184" t="s">
        <v>3</v>
      </c>
      <c r="C140" s="1184" t="s">
        <v>4</v>
      </c>
      <c r="D140" s="336" t="s">
        <v>5</v>
      </c>
      <c r="E140" s="337" t="s">
        <v>6</v>
      </c>
      <c r="F140" s="338" t="s">
        <v>7</v>
      </c>
      <c r="G140" s="338" t="s">
        <v>8</v>
      </c>
      <c r="H140" s="337" t="s">
        <v>9</v>
      </c>
      <c r="I140" s="819"/>
      <c r="J140" s="819"/>
      <c r="K140" s="819"/>
    </row>
    <row r="141" spans="1:11" s="334" customFormat="1" ht="17.100000000000001" customHeight="1" x14ac:dyDescent="0.25">
      <c r="A141" s="1185"/>
      <c r="B141" s="1185"/>
      <c r="C141" s="1185"/>
      <c r="D141" s="302" t="s">
        <v>380</v>
      </c>
      <c r="E141" s="339" t="s">
        <v>79</v>
      </c>
      <c r="F141" s="340" t="s">
        <v>632</v>
      </c>
      <c r="G141" s="340" t="s">
        <v>671</v>
      </c>
      <c r="H141" s="303" t="s">
        <v>13</v>
      </c>
      <c r="I141" s="819"/>
      <c r="J141" s="819"/>
      <c r="K141" s="819"/>
    </row>
    <row r="142" spans="1:11" s="334" customFormat="1" ht="17.100000000000001" customHeight="1" x14ac:dyDescent="0.25">
      <c r="A142" s="206">
        <v>1</v>
      </c>
      <c r="B142" s="63" t="s">
        <v>71</v>
      </c>
      <c r="C142" s="942">
        <v>0</v>
      </c>
      <c r="D142" s="942">
        <v>0</v>
      </c>
      <c r="E142" s="1030">
        <v>2843451</v>
      </c>
      <c r="F142" s="942">
        <v>2843450610</v>
      </c>
      <c r="G142" s="1030">
        <v>667696906</v>
      </c>
      <c r="H142" s="1030">
        <v>5000</v>
      </c>
      <c r="I142" s="819">
        <v>900</v>
      </c>
      <c r="J142" s="819">
        <v>1000</v>
      </c>
      <c r="K142" s="819">
        <f t="shared" ref="K142:K199" si="19">G142/E142</f>
        <v>234.81920595783083</v>
      </c>
    </row>
    <row r="143" spans="1:11" s="334" customFormat="1" ht="17.100000000000001" customHeight="1" x14ac:dyDescent="0.25">
      <c r="A143" s="144">
        <f>+A142+1</f>
        <v>2</v>
      </c>
      <c r="B143" s="63" t="s">
        <v>63</v>
      </c>
      <c r="C143" s="942">
        <v>2</v>
      </c>
      <c r="D143" s="942">
        <v>2</v>
      </c>
      <c r="E143" s="1030">
        <v>25335</v>
      </c>
      <c r="F143" s="942">
        <v>5320350</v>
      </c>
      <c r="G143" s="1030">
        <v>985000</v>
      </c>
      <c r="H143" s="1030">
        <v>10</v>
      </c>
      <c r="I143" s="819">
        <v>200</v>
      </c>
      <c r="J143" s="819">
        <v>300</v>
      </c>
      <c r="K143" s="819">
        <f t="shared" si="19"/>
        <v>38.879021117031776</v>
      </c>
    </row>
    <row r="144" spans="1:11" s="334" customFormat="1" ht="17.100000000000001" customHeight="1" x14ac:dyDescent="0.25">
      <c r="A144" s="137">
        <v>3</v>
      </c>
      <c r="B144" s="296" t="s">
        <v>59</v>
      </c>
      <c r="C144" s="942">
        <v>1</v>
      </c>
      <c r="D144" s="942">
        <v>1675.85</v>
      </c>
      <c r="E144" s="1030">
        <v>321112</v>
      </c>
      <c r="F144" s="942">
        <v>160556475</v>
      </c>
      <c r="G144" s="1030">
        <v>29147909</v>
      </c>
      <c r="H144" s="1030">
        <v>250</v>
      </c>
      <c r="I144" s="819">
        <f t="shared" ref="I144:I198" si="20">F144/E144</f>
        <v>500.00147923465954</v>
      </c>
      <c r="J144" s="819">
        <v>500</v>
      </c>
      <c r="K144" s="819">
        <f t="shared" si="19"/>
        <v>90.771783676723388</v>
      </c>
    </row>
    <row r="145" spans="1:11" s="334" customFormat="1" ht="17.100000000000001" customHeight="1" x14ac:dyDescent="0.25">
      <c r="A145" s="137">
        <v>4</v>
      </c>
      <c r="B145" s="360" t="s">
        <v>26</v>
      </c>
      <c r="C145" s="942">
        <v>5</v>
      </c>
      <c r="D145" s="942">
        <v>19.84</v>
      </c>
      <c r="E145" s="1030">
        <v>105440</v>
      </c>
      <c r="F145" s="942">
        <v>52720000</v>
      </c>
      <c r="G145" s="1030">
        <v>486049</v>
      </c>
      <c r="H145" s="1030">
        <v>30</v>
      </c>
      <c r="I145" s="819">
        <f t="shared" si="20"/>
        <v>500</v>
      </c>
      <c r="J145" s="819">
        <v>360.77828026170607</v>
      </c>
      <c r="K145" s="819">
        <f t="shared" si="19"/>
        <v>4.6097211684370256</v>
      </c>
    </row>
    <row r="146" spans="1:11" s="334" customFormat="1" ht="17.100000000000001" customHeight="1" x14ac:dyDescent="0.25">
      <c r="A146" s="137">
        <v>5</v>
      </c>
      <c r="B146" s="360" t="s">
        <v>46</v>
      </c>
      <c r="C146" s="942">
        <v>5</v>
      </c>
      <c r="D146" s="943">
        <v>192.15</v>
      </c>
      <c r="E146" s="1030">
        <v>34800</v>
      </c>
      <c r="F146" s="942">
        <v>41735850</v>
      </c>
      <c r="G146" s="1030">
        <v>968601</v>
      </c>
      <c r="H146" s="1030">
        <v>30</v>
      </c>
      <c r="I146" s="819">
        <f t="shared" si="20"/>
        <v>1199.3060344827586</v>
      </c>
      <c r="J146" s="1049">
        <v>650</v>
      </c>
      <c r="K146" s="1049">
        <f t="shared" si="19"/>
        <v>27.833362068965517</v>
      </c>
    </row>
    <row r="147" spans="1:11" s="334" customFormat="1" ht="17.100000000000001" customHeight="1" x14ac:dyDescent="0.25">
      <c r="A147" s="137">
        <v>6</v>
      </c>
      <c r="B147" s="360" t="s">
        <v>165</v>
      </c>
      <c r="C147" s="942">
        <v>3</v>
      </c>
      <c r="D147" s="942">
        <v>10</v>
      </c>
      <c r="E147" s="1030">
        <v>4552</v>
      </c>
      <c r="F147" s="942">
        <v>1365600</v>
      </c>
      <c r="G147" s="1030">
        <v>69900</v>
      </c>
      <c r="H147" s="1030">
        <v>10</v>
      </c>
      <c r="I147" s="819">
        <f t="shared" si="20"/>
        <v>300</v>
      </c>
      <c r="J147" s="819">
        <v>300</v>
      </c>
      <c r="K147" s="819">
        <f t="shared" si="19"/>
        <v>15.355887521968366</v>
      </c>
    </row>
    <row r="148" spans="1:11" s="334" customFormat="1" ht="17.100000000000001" customHeight="1" x14ac:dyDescent="0.25">
      <c r="A148" s="137">
        <v>7</v>
      </c>
      <c r="B148" s="360" t="s">
        <v>40</v>
      </c>
      <c r="C148" s="942">
        <v>2</v>
      </c>
      <c r="D148" s="942">
        <v>9.7200000000000006</v>
      </c>
      <c r="E148" s="1030">
        <v>284</v>
      </c>
      <c r="F148" s="942">
        <v>147224</v>
      </c>
      <c r="G148" s="1030">
        <v>123200</v>
      </c>
      <c r="H148" s="1030"/>
      <c r="I148" s="819">
        <f t="shared" si="20"/>
        <v>518.3943661971831</v>
      </c>
      <c r="J148" s="819" t="e">
        <v>#DIV/0!</v>
      </c>
      <c r="K148" s="819">
        <f t="shared" si="19"/>
        <v>433.80281690140845</v>
      </c>
    </row>
    <row r="149" spans="1:11" s="334" customFormat="1" ht="17.100000000000001" customHeight="1" x14ac:dyDescent="0.25">
      <c r="A149" s="137">
        <v>8</v>
      </c>
      <c r="B149" s="360" t="s">
        <v>41</v>
      </c>
      <c r="C149" s="942">
        <v>1</v>
      </c>
      <c r="D149" s="942">
        <v>4.6561000000000003</v>
      </c>
      <c r="E149" s="1030">
        <v>27746</v>
      </c>
      <c r="F149" s="942">
        <v>13040384</v>
      </c>
      <c r="G149" s="1030">
        <v>116432</v>
      </c>
      <c r="H149" s="1030"/>
      <c r="I149" s="819">
        <f t="shared" si="20"/>
        <v>469.99149426944422</v>
      </c>
      <c r="J149" s="819" t="e">
        <v>#DIV/0!</v>
      </c>
      <c r="K149" s="819">
        <f t="shared" si="19"/>
        <v>4.1963526274057523</v>
      </c>
    </row>
    <row r="150" spans="1:11" s="334" customFormat="1" ht="17.100000000000001" customHeight="1" x14ac:dyDescent="0.25">
      <c r="A150" s="137"/>
      <c r="B150" s="296" t="s">
        <v>75</v>
      </c>
      <c r="C150" s="942">
        <v>0</v>
      </c>
      <c r="D150" s="942">
        <v>0</v>
      </c>
      <c r="E150" s="942"/>
      <c r="F150" s="942"/>
      <c r="G150" s="942">
        <v>1761244</v>
      </c>
      <c r="H150" s="942"/>
      <c r="I150" s="819"/>
      <c r="J150" s="819"/>
      <c r="K150" s="819" t="e">
        <f t="shared" si="19"/>
        <v>#DIV/0!</v>
      </c>
    </row>
    <row r="151" spans="1:11" s="334" customFormat="1" ht="17.100000000000001" customHeight="1" x14ac:dyDescent="0.25">
      <c r="A151" s="361"/>
      <c r="B151" s="63" t="s">
        <v>49</v>
      </c>
      <c r="C151" s="942">
        <v>0</v>
      </c>
      <c r="D151" s="942">
        <v>0</v>
      </c>
      <c r="E151" s="942"/>
      <c r="F151" s="942"/>
      <c r="G151" s="942">
        <v>1798484</v>
      </c>
      <c r="H151" s="942"/>
      <c r="I151" s="819"/>
      <c r="J151" s="819"/>
      <c r="K151" s="819" t="e">
        <f t="shared" si="19"/>
        <v>#DIV/0!</v>
      </c>
    </row>
    <row r="152" spans="1:11" s="334" customFormat="1" ht="17.100000000000001" customHeight="1" x14ac:dyDescent="0.25">
      <c r="A152" s="1182" t="s">
        <v>50</v>
      </c>
      <c r="B152" s="1183"/>
      <c r="C152" s="335">
        <f>SUM(C142:C151)</f>
        <v>19</v>
      </c>
      <c r="D152" s="335">
        <f t="shared" ref="D152:H152" si="21">SUM(D142:D151)</f>
        <v>1914.2160999999999</v>
      </c>
      <c r="E152" s="335">
        <f t="shared" si="21"/>
        <v>3362720</v>
      </c>
      <c r="F152" s="335">
        <f>SUM(F142:F151)</f>
        <v>3118336493</v>
      </c>
      <c r="G152" s="371">
        <f>SUM(G142:G151)</f>
        <v>703153725</v>
      </c>
      <c r="H152" s="335">
        <f t="shared" si="21"/>
        <v>5330</v>
      </c>
      <c r="I152" s="819"/>
      <c r="J152" s="819"/>
      <c r="K152" s="819"/>
    </row>
    <row r="153" spans="1:11" s="334" customFormat="1" ht="17.100000000000001" customHeight="1" x14ac:dyDescent="0.25">
      <c r="A153" s="343"/>
      <c r="B153" s="344"/>
      <c r="C153" s="344"/>
      <c r="D153" s="345"/>
      <c r="E153" s="344"/>
      <c r="F153" s="346"/>
      <c r="G153" s="346"/>
      <c r="H153" s="347"/>
      <c r="I153" s="819"/>
      <c r="J153" s="819"/>
      <c r="K153" s="819"/>
    </row>
    <row r="154" spans="1:11" s="334" customFormat="1" ht="17.100000000000001" customHeight="1" x14ac:dyDescent="0.25">
      <c r="A154" s="1188" t="s">
        <v>113</v>
      </c>
      <c r="B154" s="1188"/>
      <c r="C154" s="1188"/>
      <c r="D154" s="1188"/>
      <c r="E154" s="1188"/>
      <c r="F154" s="1188"/>
      <c r="G154" s="1188"/>
      <c r="H154" s="1188"/>
      <c r="I154" s="819"/>
      <c r="J154" s="819"/>
      <c r="K154" s="819"/>
    </row>
    <row r="155" spans="1:11" s="334" customFormat="1" ht="17.100000000000001" customHeight="1" x14ac:dyDescent="0.25">
      <c r="A155" s="1184" t="s">
        <v>182</v>
      </c>
      <c r="B155" s="1184" t="s">
        <v>3</v>
      </c>
      <c r="C155" s="1184" t="s">
        <v>4</v>
      </c>
      <c r="D155" s="336" t="s">
        <v>5</v>
      </c>
      <c r="E155" s="337" t="s">
        <v>6</v>
      </c>
      <c r="F155" s="338" t="s">
        <v>7</v>
      </c>
      <c r="G155" s="338" t="s">
        <v>8</v>
      </c>
      <c r="H155" s="337" t="s">
        <v>9</v>
      </c>
      <c r="I155" s="819"/>
      <c r="J155" s="819"/>
      <c r="K155" s="819"/>
    </row>
    <row r="156" spans="1:11" s="334" customFormat="1" ht="17.100000000000001" customHeight="1" x14ac:dyDescent="0.25">
      <c r="A156" s="1185"/>
      <c r="B156" s="1185"/>
      <c r="C156" s="1185"/>
      <c r="D156" s="302" t="s">
        <v>380</v>
      </c>
      <c r="E156" s="339" t="s">
        <v>79</v>
      </c>
      <c r="F156" s="340" t="s">
        <v>632</v>
      </c>
      <c r="G156" s="340" t="s">
        <v>671</v>
      </c>
      <c r="H156" s="303" t="s">
        <v>13</v>
      </c>
      <c r="I156" s="819"/>
      <c r="J156" s="819"/>
      <c r="K156" s="819"/>
    </row>
    <row r="157" spans="1:11" s="334" customFormat="1" ht="17.100000000000001" customHeight="1" x14ac:dyDescent="0.25">
      <c r="A157" s="145">
        <v>1</v>
      </c>
      <c r="B157" s="63" t="s">
        <v>63</v>
      </c>
      <c r="C157" s="974">
        <v>418</v>
      </c>
      <c r="D157" s="975">
        <v>424.15</v>
      </c>
      <c r="E157" s="976">
        <v>13794158</v>
      </c>
      <c r="F157" s="1030">
        <v>2413977818</v>
      </c>
      <c r="G157" s="1030">
        <v>882830221</v>
      </c>
      <c r="H157" s="1030">
        <v>2200</v>
      </c>
      <c r="I157" s="819">
        <f t="shared" si="20"/>
        <v>175.00001217906885</v>
      </c>
      <c r="J157" s="819">
        <v>179.99999809392068</v>
      </c>
      <c r="K157" s="819">
        <f t="shared" si="19"/>
        <v>64.000297879725608</v>
      </c>
    </row>
    <row r="158" spans="1:11" s="334" customFormat="1" ht="17.100000000000001" customHeight="1" x14ac:dyDescent="0.25">
      <c r="A158" s="145">
        <v>2</v>
      </c>
      <c r="B158" s="63" t="s">
        <v>54</v>
      </c>
      <c r="C158" s="942">
        <v>0</v>
      </c>
      <c r="D158" s="943">
        <v>245.6</v>
      </c>
      <c r="E158" s="976">
        <v>991200</v>
      </c>
      <c r="F158" s="977">
        <v>218064000</v>
      </c>
      <c r="G158" s="1030">
        <v>29149172</v>
      </c>
      <c r="H158" s="1030">
        <v>4400</v>
      </c>
      <c r="I158" s="819">
        <v>220</v>
      </c>
      <c r="J158" s="819">
        <v>200</v>
      </c>
      <c r="K158" s="819">
        <f t="shared" si="19"/>
        <v>29.407962066182407</v>
      </c>
    </row>
    <row r="159" spans="1:11" s="334" customFormat="1" ht="17.100000000000001" customHeight="1" x14ac:dyDescent="0.25">
      <c r="A159" s="145">
        <v>3</v>
      </c>
      <c r="B159" s="63" t="s">
        <v>44</v>
      </c>
      <c r="C159" s="942">
        <v>3</v>
      </c>
      <c r="D159" s="943">
        <v>14.054</v>
      </c>
      <c r="E159" s="976">
        <v>377.65</v>
      </c>
      <c r="F159" s="977">
        <v>203931</v>
      </c>
      <c r="G159" s="1030">
        <v>53719</v>
      </c>
      <c r="H159" s="1030">
        <v>10</v>
      </c>
      <c r="I159" s="819">
        <v>450</v>
      </c>
      <c r="J159" s="819">
        <v>450</v>
      </c>
      <c r="K159" s="819">
        <f t="shared" si="19"/>
        <v>142.24546537799552</v>
      </c>
    </row>
    <row r="160" spans="1:11" s="334" customFormat="1" ht="17.100000000000001" customHeight="1" x14ac:dyDescent="0.25">
      <c r="A160" s="145">
        <v>4</v>
      </c>
      <c r="B160" s="63" t="s">
        <v>65</v>
      </c>
      <c r="C160" s="942">
        <v>3</v>
      </c>
      <c r="D160" s="942">
        <v>2</v>
      </c>
      <c r="E160" s="942">
        <v>274000</v>
      </c>
      <c r="F160" s="942">
        <f>E160*35</f>
        <v>9590000</v>
      </c>
      <c r="G160" s="942">
        <v>2379640</v>
      </c>
      <c r="H160" s="942">
        <v>10</v>
      </c>
      <c r="I160" s="819">
        <f t="shared" si="20"/>
        <v>35</v>
      </c>
      <c r="J160" s="819" t="e">
        <v>#DIV/0!</v>
      </c>
      <c r="K160" s="819">
        <f t="shared" si="19"/>
        <v>8.6848175182481757</v>
      </c>
    </row>
    <row r="161" spans="1:11" s="334" customFormat="1" ht="17.100000000000001" customHeight="1" x14ac:dyDescent="0.25">
      <c r="A161" s="145"/>
      <c r="B161" s="63" t="s">
        <v>75</v>
      </c>
      <c r="C161" s="942">
        <v>0</v>
      </c>
      <c r="D161" s="942">
        <v>0</v>
      </c>
      <c r="E161" s="942"/>
      <c r="F161" s="942"/>
      <c r="G161" s="942">
        <v>28796875</v>
      </c>
      <c r="H161" s="942"/>
      <c r="I161" s="819"/>
      <c r="J161" s="819"/>
      <c r="K161" s="819"/>
    </row>
    <row r="162" spans="1:11" s="334" customFormat="1" ht="17.100000000000001" customHeight="1" x14ac:dyDescent="0.25">
      <c r="A162" s="145"/>
      <c r="B162" s="63" t="s">
        <v>49</v>
      </c>
      <c r="C162" s="942">
        <v>0</v>
      </c>
      <c r="D162" s="942">
        <v>0</v>
      </c>
      <c r="E162" s="942"/>
      <c r="F162" s="942"/>
      <c r="G162" s="942">
        <v>90370981</v>
      </c>
      <c r="H162" s="942"/>
      <c r="I162" s="819"/>
      <c r="J162" s="819"/>
      <c r="K162" s="819"/>
    </row>
    <row r="163" spans="1:11" s="334" customFormat="1" ht="17.100000000000001" customHeight="1" x14ac:dyDescent="0.25">
      <c r="A163" s="1182" t="s">
        <v>50</v>
      </c>
      <c r="B163" s="1183"/>
      <c r="C163" s="358">
        <f>SUM(C157:C162)</f>
        <v>424</v>
      </c>
      <c r="D163" s="358">
        <f t="shared" ref="D163:H163" si="22">SUM(D157:D162)</f>
        <v>685.80399999999997</v>
      </c>
      <c r="E163" s="808">
        <f>SUM(E157:E162)</f>
        <v>15059735.65</v>
      </c>
      <c r="F163" s="362">
        <f>SUM(F157:F162)</f>
        <v>2641835749</v>
      </c>
      <c r="G163" s="362">
        <f>SUM(G157:G162)</f>
        <v>1033580608</v>
      </c>
      <c r="H163" s="358">
        <f t="shared" si="22"/>
        <v>6620</v>
      </c>
      <c r="I163" s="819"/>
      <c r="J163" s="819"/>
      <c r="K163" s="819"/>
    </row>
    <row r="164" spans="1:11" s="334" customFormat="1" ht="17.100000000000001" customHeight="1" x14ac:dyDescent="0.25">
      <c r="A164" s="353"/>
      <c r="B164" s="354"/>
      <c r="C164" s="354"/>
      <c r="D164" s="355"/>
      <c r="E164" s="355"/>
      <c r="F164" s="356"/>
      <c r="G164" s="356"/>
      <c r="H164" s="357"/>
      <c r="I164" s="819"/>
      <c r="J164" s="819"/>
      <c r="K164" s="819"/>
    </row>
    <row r="165" spans="1:11" s="334" customFormat="1" ht="17.100000000000001" customHeight="1" x14ac:dyDescent="0.25">
      <c r="A165" s="1188" t="s">
        <v>81</v>
      </c>
      <c r="B165" s="1188"/>
      <c r="C165" s="1188"/>
      <c r="D165" s="1188"/>
      <c r="E165" s="1188"/>
      <c r="F165" s="1188"/>
      <c r="G165" s="1188"/>
      <c r="H165" s="1188"/>
      <c r="I165" s="819"/>
      <c r="J165" s="819"/>
      <c r="K165" s="819"/>
    </row>
    <row r="166" spans="1:11" s="334" customFormat="1" ht="17.100000000000001" customHeight="1" x14ac:dyDescent="0.25">
      <c r="A166" s="1184" t="s">
        <v>182</v>
      </c>
      <c r="B166" s="1184" t="s">
        <v>3</v>
      </c>
      <c r="C166" s="1184" t="s">
        <v>4</v>
      </c>
      <c r="D166" s="336" t="s">
        <v>5</v>
      </c>
      <c r="E166" s="337" t="s">
        <v>6</v>
      </c>
      <c r="F166" s="338" t="s">
        <v>7</v>
      </c>
      <c r="G166" s="338" t="s">
        <v>8</v>
      </c>
      <c r="H166" s="337" t="s">
        <v>9</v>
      </c>
      <c r="I166" s="819"/>
      <c r="J166" s="819"/>
      <c r="K166" s="819"/>
    </row>
    <row r="167" spans="1:11" s="334" customFormat="1" ht="17.100000000000001" customHeight="1" x14ac:dyDescent="0.25">
      <c r="A167" s="1185"/>
      <c r="B167" s="1185"/>
      <c r="C167" s="1185"/>
      <c r="D167" s="302" t="s">
        <v>380</v>
      </c>
      <c r="E167" s="339" t="s">
        <v>79</v>
      </c>
      <c r="F167" s="340" t="s">
        <v>632</v>
      </c>
      <c r="G167" s="340" t="s">
        <v>671</v>
      </c>
      <c r="H167" s="303" t="s">
        <v>13</v>
      </c>
      <c r="I167" s="819"/>
      <c r="J167" s="819"/>
      <c r="K167" s="819"/>
    </row>
    <row r="168" spans="1:11" s="334" customFormat="1" ht="17.100000000000001" customHeight="1" x14ac:dyDescent="0.25">
      <c r="A168" s="143">
        <v>1</v>
      </c>
      <c r="B168" s="63" t="s">
        <v>63</v>
      </c>
      <c r="C168" s="1026">
        <v>159</v>
      </c>
      <c r="D168" s="1026">
        <v>161.59</v>
      </c>
      <c r="E168" s="1026">
        <v>2037317</v>
      </c>
      <c r="F168" s="1026">
        <f>E168*200</f>
        <v>407463400</v>
      </c>
      <c r="G168" s="1026">
        <v>119401271</v>
      </c>
      <c r="H168" s="1026">
        <v>3355</v>
      </c>
      <c r="I168" s="819">
        <f t="shared" si="20"/>
        <v>200</v>
      </c>
      <c r="J168" s="819">
        <v>137.66401187382272</v>
      </c>
      <c r="K168" s="819">
        <f t="shared" si="19"/>
        <v>58.607114651279112</v>
      </c>
    </row>
    <row r="169" spans="1:11" s="334" customFormat="1" ht="17.100000000000001" customHeight="1" x14ac:dyDescent="0.25">
      <c r="A169" s="143">
        <v>2</v>
      </c>
      <c r="B169" s="63" t="s">
        <v>58</v>
      </c>
      <c r="C169" s="1026">
        <v>403</v>
      </c>
      <c r="D169" s="1026">
        <v>942.59</v>
      </c>
      <c r="E169" s="1026">
        <v>2028350</v>
      </c>
      <c r="F169" s="1026">
        <f>E169*2100</f>
        <v>4259535000</v>
      </c>
      <c r="G169" s="1026">
        <v>450401261</v>
      </c>
      <c r="H169" s="1026">
        <v>985</v>
      </c>
      <c r="I169" s="819">
        <f t="shared" si="20"/>
        <v>2100</v>
      </c>
      <c r="J169" s="819">
        <v>2100</v>
      </c>
      <c r="K169" s="819">
        <f t="shared" si="19"/>
        <v>222.05302881652574</v>
      </c>
    </row>
    <row r="170" spans="1:11" s="334" customFormat="1" ht="17.100000000000001" customHeight="1" x14ac:dyDescent="0.25">
      <c r="A170" s="143">
        <v>3</v>
      </c>
      <c r="B170" s="63" t="s">
        <v>60</v>
      </c>
      <c r="C170" s="1026">
        <v>5</v>
      </c>
      <c r="D170" s="1026">
        <v>4.0599999999999996</v>
      </c>
      <c r="E170" s="1026">
        <v>89052</v>
      </c>
      <c r="F170" s="1026">
        <f>E170*350</f>
        <v>31168200</v>
      </c>
      <c r="G170" s="1026">
        <v>12647284</v>
      </c>
      <c r="H170" s="1026">
        <v>20</v>
      </c>
      <c r="I170" s="819">
        <f t="shared" si="20"/>
        <v>350</v>
      </c>
      <c r="J170" s="819">
        <v>375</v>
      </c>
      <c r="K170" s="819">
        <f t="shared" si="19"/>
        <v>142.0213358487176</v>
      </c>
    </row>
    <row r="171" spans="1:11" s="334" customFormat="1" ht="17.100000000000001" customHeight="1" x14ac:dyDescent="0.25">
      <c r="A171" s="143">
        <v>4</v>
      </c>
      <c r="B171" s="63" t="s">
        <v>192</v>
      </c>
      <c r="C171" s="1026">
        <v>7</v>
      </c>
      <c r="D171" s="1026">
        <v>10.62</v>
      </c>
      <c r="E171" s="1026">
        <v>105</v>
      </c>
      <c r="F171" s="1026">
        <f>E171*700</f>
        <v>73500</v>
      </c>
      <c r="G171" s="1026">
        <v>831743</v>
      </c>
      <c r="H171" s="1026">
        <v>32</v>
      </c>
      <c r="I171" s="819">
        <f t="shared" si="20"/>
        <v>700</v>
      </c>
      <c r="J171" s="819">
        <v>709.97895223911189</v>
      </c>
      <c r="K171" s="819">
        <f t="shared" si="19"/>
        <v>7921.361904761905</v>
      </c>
    </row>
    <row r="172" spans="1:11" s="334" customFormat="1" ht="17.100000000000001" customHeight="1" x14ac:dyDescent="0.25">
      <c r="A172" s="143">
        <v>5</v>
      </c>
      <c r="B172" s="63" t="s">
        <v>122</v>
      </c>
      <c r="C172" s="1026">
        <v>9</v>
      </c>
      <c r="D172" s="1026">
        <v>204.62</v>
      </c>
      <c r="E172" s="1026">
        <f>G172/242</f>
        <v>129843.15702479339</v>
      </c>
      <c r="F172" s="1026">
        <f>E172*1650</f>
        <v>214241209.09090909</v>
      </c>
      <c r="G172" s="1026">
        <v>31422044</v>
      </c>
      <c r="H172" s="1026">
        <v>0</v>
      </c>
      <c r="I172" s="819">
        <f t="shared" si="20"/>
        <v>1650</v>
      </c>
      <c r="J172" s="819">
        <v>1599.9999999999998</v>
      </c>
      <c r="K172" s="819">
        <f t="shared" si="19"/>
        <v>242</v>
      </c>
    </row>
    <row r="173" spans="1:11" s="334" customFormat="1" ht="17.100000000000001" customHeight="1" x14ac:dyDescent="0.25">
      <c r="A173" s="143">
        <v>6</v>
      </c>
      <c r="B173" s="63" t="s">
        <v>193</v>
      </c>
      <c r="C173" s="1026">
        <v>1</v>
      </c>
      <c r="D173" s="1026">
        <v>1</v>
      </c>
      <c r="E173" s="1026">
        <v>0</v>
      </c>
      <c r="F173" s="1026">
        <v>0</v>
      </c>
      <c r="G173" s="1026">
        <v>0</v>
      </c>
      <c r="H173" s="1026">
        <v>0</v>
      </c>
      <c r="I173" s="819">
        <v>600</v>
      </c>
      <c r="J173" s="819">
        <v>600</v>
      </c>
      <c r="K173" s="819" t="e">
        <f t="shared" si="19"/>
        <v>#DIV/0!</v>
      </c>
    </row>
    <row r="174" spans="1:11" s="334" customFormat="1" ht="17.100000000000001" customHeight="1" x14ac:dyDescent="0.25">
      <c r="A174" s="143">
        <v>7</v>
      </c>
      <c r="B174" s="63" t="s">
        <v>54</v>
      </c>
      <c r="C174" s="1026">
        <v>0</v>
      </c>
      <c r="D174" s="1026">
        <v>150</v>
      </c>
      <c r="E174" s="1026">
        <v>336640</v>
      </c>
      <c r="F174" s="1026">
        <v>74060800</v>
      </c>
      <c r="G174" s="1026">
        <v>673280</v>
      </c>
      <c r="H174" s="1026">
        <v>1650</v>
      </c>
      <c r="I174" s="819">
        <f t="shared" si="20"/>
        <v>220</v>
      </c>
      <c r="J174" s="819">
        <v>220</v>
      </c>
      <c r="K174" s="819">
        <f t="shared" si="19"/>
        <v>2</v>
      </c>
    </row>
    <row r="175" spans="1:11" s="334" customFormat="1" ht="17.100000000000001" customHeight="1" x14ac:dyDescent="0.25">
      <c r="A175" s="143">
        <v>8</v>
      </c>
      <c r="B175" s="63" t="s">
        <v>59</v>
      </c>
      <c r="C175" s="1026">
        <v>4</v>
      </c>
      <c r="D175" s="1026">
        <v>2956</v>
      </c>
      <c r="E175" s="1026">
        <v>3969732</v>
      </c>
      <c r="F175" s="1026">
        <f>E175*350</f>
        <v>1389406200</v>
      </c>
      <c r="G175" s="1026">
        <v>211633211</v>
      </c>
      <c r="H175" s="1026">
        <v>100</v>
      </c>
      <c r="I175" s="819">
        <f t="shared" si="20"/>
        <v>350</v>
      </c>
      <c r="J175" s="819">
        <v>300</v>
      </c>
      <c r="K175" s="819">
        <f t="shared" si="19"/>
        <v>53.311712478323471</v>
      </c>
    </row>
    <row r="176" spans="1:11" s="334" customFormat="1" ht="17.100000000000001" customHeight="1" x14ac:dyDescent="0.25">
      <c r="A176" s="143">
        <v>9</v>
      </c>
      <c r="B176" s="63" t="s">
        <v>62</v>
      </c>
      <c r="C176" s="1026">
        <v>26</v>
      </c>
      <c r="D176" s="1048" t="s">
        <v>648</v>
      </c>
      <c r="E176" s="1026">
        <v>79614</v>
      </c>
      <c r="F176" s="1026">
        <f>E176*1850</f>
        <v>147285900</v>
      </c>
      <c r="G176" s="1026">
        <v>14484890</v>
      </c>
      <c r="H176" s="1026">
        <v>95</v>
      </c>
      <c r="I176" s="819">
        <f t="shared" si="20"/>
        <v>1850</v>
      </c>
      <c r="J176" s="819">
        <v>1850</v>
      </c>
      <c r="K176" s="819">
        <f t="shared" si="19"/>
        <v>181.9389805813048</v>
      </c>
    </row>
    <row r="177" spans="1:11" s="334" customFormat="1" ht="17.100000000000001" customHeight="1" x14ac:dyDescent="0.25">
      <c r="A177" s="143">
        <v>10</v>
      </c>
      <c r="B177" s="274" t="s">
        <v>159</v>
      </c>
      <c r="C177" s="1026">
        <v>1</v>
      </c>
      <c r="D177" s="1026">
        <v>5</v>
      </c>
      <c r="E177" s="1026">
        <v>0</v>
      </c>
      <c r="F177" s="1026">
        <v>0</v>
      </c>
      <c r="G177" s="1026">
        <v>0</v>
      </c>
      <c r="H177" s="1026">
        <v>0</v>
      </c>
      <c r="I177" s="819" t="e">
        <f t="shared" si="20"/>
        <v>#DIV/0!</v>
      </c>
      <c r="J177" s="819">
        <v>2000.0000000000002</v>
      </c>
      <c r="K177" s="819" t="e">
        <f t="shared" si="19"/>
        <v>#DIV/0!</v>
      </c>
    </row>
    <row r="178" spans="1:11" s="334" customFormat="1" ht="17.100000000000001" customHeight="1" x14ac:dyDescent="0.25">
      <c r="A178" s="143">
        <v>11</v>
      </c>
      <c r="B178" s="274" t="s">
        <v>46</v>
      </c>
      <c r="C178" s="1026">
        <v>35</v>
      </c>
      <c r="D178" s="1026">
        <v>2556.73</v>
      </c>
      <c r="E178" s="1026">
        <v>623134</v>
      </c>
      <c r="F178" s="1026">
        <f>E178*1350</f>
        <v>841230900</v>
      </c>
      <c r="G178" s="1026">
        <v>44244884</v>
      </c>
      <c r="H178" s="1026">
        <v>700</v>
      </c>
      <c r="I178" s="819">
        <f t="shared" si="20"/>
        <v>1350</v>
      </c>
      <c r="J178" s="819">
        <v>1350</v>
      </c>
      <c r="K178" s="819">
        <f t="shared" si="19"/>
        <v>71.003803355297578</v>
      </c>
    </row>
    <row r="179" spans="1:11" s="334" customFormat="1" ht="17.100000000000001" customHeight="1" x14ac:dyDescent="0.25">
      <c r="A179" s="143">
        <v>12</v>
      </c>
      <c r="B179" s="274" t="s">
        <v>25</v>
      </c>
      <c r="C179" s="1026">
        <v>8</v>
      </c>
      <c r="D179" s="1026">
        <v>85.91</v>
      </c>
      <c r="E179" s="1026">
        <f>G179/265</f>
        <v>10011.739622641509</v>
      </c>
      <c r="F179" s="1072">
        <f>E179*850</f>
        <v>8509978.6792452838</v>
      </c>
      <c r="G179" s="1026">
        <v>2653111</v>
      </c>
      <c r="H179" s="1026">
        <v>50</v>
      </c>
      <c r="I179" s="819">
        <f t="shared" si="20"/>
        <v>850.00000000000011</v>
      </c>
      <c r="J179" s="819">
        <v>850</v>
      </c>
      <c r="K179" s="819">
        <f t="shared" si="19"/>
        <v>265</v>
      </c>
    </row>
    <row r="180" spans="1:11" s="334" customFormat="1" ht="17.100000000000001" customHeight="1" x14ac:dyDescent="0.25">
      <c r="A180" s="143">
        <v>13</v>
      </c>
      <c r="B180" s="274" t="s">
        <v>26</v>
      </c>
      <c r="C180" s="1026">
        <v>28</v>
      </c>
      <c r="D180" s="1026">
        <v>1129.92</v>
      </c>
      <c r="E180" s="1026">
        <v>492968</v>
      </c>
      <c r="F180" s="1026">
        <f>E180*438</f>
        <v>215919984</v>
      </c>
      <c r="G180" s="1026">
        <v>36821331</v>
      </c>
      <c r="H180" s="1026">
        <v>250</v>
      </c>
      <c r="I180" s="819">
        <f t="shared" si="20"/>
        <v>438</v>
      </c>
      <c r="J180" s="819">
        <v>475</v>
      </c>
      <c r="K180" s="819">
        <f t="shared" si="19"/>
        <v>74.693146411126079</v>
      </c>
    </row>
    <row r="181" spans="1:11" s="334" customFormat="1" ht="17.100000000000001" customHeight="1" x14ac:dyDescent="0.25">
      <c r="A181" s="143">
        <v>14</v>
      </c>
      <c r="B181" s="274" t="s">
        <v>164</v>
      </c>
      <c r="C181" s="1026">
        <v>1</v>
      </c>
      <c r="D181" s="1026">
        <v>4.55</v>
      </c>
      <c r="E181" s="1026">
        <v>647278</v>
      </c>
      <c r="F181" s="1026">
        <f>E181*260</f>
        <v>168292280</v>
      </c>
      <c r="G181" s="1026">
        <v>32969429</v>
      </c>
      <c r="H181" s="1026">
        <v>60</v>
      </c>
      <c r="I181" s="819">
        <f t="shared" si="20"/>
        <v>260</v>
      </c>
      <c r="J181" s="819">
        <v>275</v>
      </c>
      <c r="K181" s="819">
        <f t="shared" si="19"/>
        <v>50.935500665865362</v>
      </c>
    </row>
    <row r="182" spans="1:11" s="334" customFormat="1" ht="17.100000000000001" customHeight="1" x14ac:dyDescent="0.25">
      <c r="A182" s="143">
        <v>15</v>
      </c>
      <c r="B182" s="273" t="s">
        <v>41</v>
      </c>
      <c r="C182" s="1026">
        <v>804</v>
      </c>
      <c r="D182" s="1026">
        <v>3941</v>
      </c>
      <c r="E182" s="1026">
        <v>1667285</v>
      </c>
      <c r="F182" s="1026">
        <f>E182*483</f>
        <v>805298655</v>
      </c>
      <c r="G182" s="1026">
        <v>185772046</v>
      </c>
      <c r="H182" s="1026">
        <v>4500</v>
      </c>
      <c r="I182" s="819">
        <f t="shared" si="20"/>
        <v>483</v>
      </c>
      <c r="J182" s="819">
        <v>485</v>
      </c>
      <c r="K182" s="819">
        <f t="shared" si="19"/>
        <v>111.42189007878078</v>
      </c>
    </row>
    <row r="183" spans="1:11" s="334" customFormat="1" ht="17.100000000000001" customHeight="1" x14ac:dyDescent="0.25">
      <c r="A183" s="143">
        <v>16</v>
      </c>
      <c r="B183" s="274" t="s">
        <v>40</v>
      </c>
      <c r="C183" s="1026">
        <v>0</v>
      </c>
      <c r="D183" s="1026">
        <v>0</v>
      </c>
      <c r="E183" s="1026">
        <v>288335</v>
      </c>
      <c r="F183" s="1026">
        <f>E183*600</f>
        <v>173001000</v>
      </c>
      <c r="G183" s="1026">
        <v>17055950</v>
      </c>
      <c r="H183" s="1026">
        <v>0</v>
      </c>
      <c r="I183" s="819">
        <f t="shared" si="20"/>
        <v>600</v>
      </c>
      <c r="J183" s="819">
        <v>610</v>
      </c>
      <c r="K183" s="819">
        <f t="shared" si="19"/>
        <v>59.153241888775213</v>
      </c>
    </row>
    <row r="184" spans="1:11" s="334" customFormat="1" ht="17.100000000000001" customHeight="1" x14ac:dyDescent="0.25">
      <c r="A184" s="143">
        <v>17</v>
      </c>
      <c r="B184" s="274" t="s">
        <v>44</v>
      </c>
      <c r="C184" s="1026">
        <v>1</v>
      </c>
      <c r="D184" s="1026">
        <v>5</v>
      </c>
      <c r="E184" s="1026">
        <v>12718</v>
      </c>
      <c r="F184" s="1026">
        <f>E184*540</f>
        <v>6867720</v>
      </c>
      <c r="G184" s="1026">
        <v>2255561</v>
      </c>
      <c r="H184" s="1026">
        <v>7</v>
      </c>
      <c r="I184" s="819">
        <f t="shared" si="20"/>
        <v>540</v>
      </c>
      <c r="J184" s="819">
        <v>500</v>
      </c>
      <c r="K184" s="819">
        <f t="shared" si="19"/>
        <v>177.35186350055039</v>
      </c>
    </row>
    <row r="185" spans="1:11" s="334" customFormat="1" ht="17.100000000000001" customHeight="1" x14ac:dyDescent="0.25">
      <c r="A185" s="143"/>
      <c r="B185" s="63" t="s">
        <v>75</v>
      </c>
      <c r="C185" s="1026">
        <v>0</v>
      </c>
      <c r="D185" s="1026">
        <v>0</v>
      </c>
      <c r="E185" s="1026"/>
      <c r="F185" s="1026"/>
      <c r="G185" s="1026">
        <v>7071114</v>
      </c>
      <c r="H185" s="1026"/>
      <c r="I185" s="819"/>
      <c r="J185" s="819"/>
      <c r="K185" s="819"/>
    </row>
    <row r="186" spans="1:11" s="334" customFormat="1" ht="17.100000000000001" customHeight="1" x14ac:dyDescent="0.25">
      <c r="A186" s="143"/>
      <c r="B186" s="63" t="s">
        <v>49</v>
      </c>
      <c r="C186" s="1026">
        <v>0</v>
      </c>
      <c r="D186" s="1026">
        <v>0</v>
      </c>
      <c r="E186" s="1026"/>
      <c r="F186" s="1026"/>
      <c r="G186" s="1026">
        <v>256621116</v>
      </c>
      <c r="H186" s="1026"/>
      <c r="I186" s="819"/>
      <c r="J186" s="819"/>
      <c r="K186" s="819"/>
    </row>
    <row r="187" spans="1:11" s="334" customFormat="1" ht="17.100000000000001" customHeight="1" x14ac:dyDescent="0.25">
      <c r="A187" s="1182" t="s">
        <v>50</v>
      </c>
      <c r="B187" s="1183"/>
      <c r="C187" s="358">
        <f>SUM(C168:C186)</f>
        <v>1492</v>
      </c>
      <c r="D187" s="358">
        <f t="shared" ref="D187:H187" si="23">SUM(D168:D186)</f>
        <v>12158.589999999998</v>
      </c>
      <c r="E187" s="358">
        <f t="shared" si="23"/>
        <v>12412382.896647435</v>
      </c>
      <c r="F187" s="358">
        <f t="shared" si="23"/>
        <v>8742354726.770153</v>
      </c>
      <c r="G187" s="589">
        <f t="shared" si="23"/>
        <v>1426959526</v>
      </c>
      <c r="H187" s="358">
        <f t="shared" si="23"/>
        <v>11804</v>
      </c>
      <c r="I187" s="819"/>
      <c r="J187" s="819"/>
      <c r="K187" s="819"/>
    </row>
    <row r="188" spans="1:11" s="334" customFormat="1" ht="17.100000000000001" customHeight="1" x14ac:dyDescent="0.25">
      <c r="A188" s="353"/>
      <c r="C188" s="354"/>
      <c r="D188" s="355"/>
      <c r="E188" s="355"/>
      <c r="F188" s="356"/>
      <c r="G188" s="351" t="s">
        <v>635</v>
      </c>
      <c r="H188" s="357"/>
      <c r="I188" s="819"/>
      <c r="J188" s="819"/>
      <c r="K188" s="819"/>
    </row>
    <row r="189" spans="1:11" s="334" customFormat="1" ht="17.100000000000001" customHeight="1" x14ac:dyDescent="0.25">
      <c r="A189" s="1188" t="s">
        <v>96</v>
      </c>
      <c r="B189" s="1188"/>
      <c r="C189" s="1188"/>
      <c r="D189" s="1188"/>
      <c r="E189" s="1188"/>
      <c r="F189" s="1188"/>
      <c r="G189" s="1188"/>
      <c r="H189" s="1188"/>
      <c r="I189" s="819"/>
      <c r="J189" s="819"/>
      <c r="K189" s="819"/>
    </row>
    <row r="190" spans="1:11" s="334" customFormat="1" ht="17.100000000000001" customHeight="1" x14ac:dyDescent="0.25">
      <c r="A190" s="1184" t="s">
        <v>182</v>
      </c>
      <c r="B190" s="1184" t="s">
        <v>3</v>
      </c>
      <c r="C190" s="1184" t="s">
        <v>4</v>
      </c>
      <c r="D190" s="336" t="s">
        <v>5</v>
      </c>
      <c r="E190" s="337" t="s">
        <v>6</v>
      </c>
      <c r="F190" s="338" t="s">
        <v>7</v>
      </c>
      <c r="G190" s="338" t="s">
        <v>8</v>
      </c>
      <c r="H190" s="337" t="s">
        <v>9</v>
      </c>
      <c r="I190" s="819"/>
      <c r="J190" s="819"/>
      <c r="K190" s="819"/>
    </row>
    <row r="191" spans="1:11" s="334" customFormat="1" ht="17.100000000000001" customHeight="1" x14ac:dyDescent="0.25">
      <c r="A191" s="1185"/>
      <c r="B191" s="1185"/>
      <c r="C191" s="1185"/>
      <c r="D191" s="302" t="s">
        <v>380</v>
      </c>
      <c r="E191" s="339" t="s">
        <v>79</v>
      </c>
      <c r="F191" s="340" t="s">
        <v>632</v>
      </c>
      <c r="G191" s="340" t="s">
        <v>671</v>
      </c>
      <c r="H191" s="303" t="s">
        <v>13</v>
      </c>
      <c r="I191" s="819"/>
      <c r="J191" s="819"/>
      <c r="K191" s="819"/>
    </row>
    <row r="192" spans="1:11" s="334" customFormat="1" ht="17.100000000000001" customHeight="1" x14ac:dyDescent="0.25">
      <c r="A192" s="143">
        <v>1</v>
      </c>
      <c r="B192" s="63" t="s">
        <v>59</v>
      </c>
      <c r="C192" s="942">
        <v>103</v>
      </c>
      <c r="D192" s="943">
        <v>317.57</v>
      </c>
      <c r="E192" s="991">
        <v>2428131</v>
      </c>
      <c r="F192" s="991">
        <f>E192*550</f>
        <v>1335472050</v>
      </c>
      <c r="G192" s="1030">
        <v>405703225</v>
      </c>
      <c r="H192" s="1030">
        <v>515</v>
      </c>
      <c r="I192" s="819">
        <f t="shared" si="20"/>
        <v>550</v>
      </c>
      <c r="J192" s="819">
        <v>280</v>
      </c>
      <c r="K192" s="819">
        <f t="shared" si="19"/>
        <v>167.08457039591357</v>
      </c>
    </row>
    <row r="193" spans="1:11" s="334" customFormat="1" ht="17.100000000000001" customHeight="1" x14ac:dyDescent="0.25">
      <c r="A193" s="143">
        <v>2</v>
      </c>
      <c r="B193" s="63" t="s">
        <v>193</v>
      </c>
      <c r="C193" s="942">
        <v>1</v>
      </c>
      <c r="D193" s="943">
        <v>161.09</v>
      </c>
      <c r="E193" s="993">
        <v>6275</v>
      </c>
      <c r="F193" s="993">
        <v>3451242</v>
      </c>
      <c r="G193" s="1030">
        <v>2246230</v>
      </c>
      <c r="H193" s="1030">
        <v>6</v>
      </c>
      <c r="I193" s="819">
        <f t="shared" si="20"/>
        <v>549.99872509960164</v>
      </c>
      <c r="J193" s="819">
        <v>450</v>
      </c>
      <c r="K193" s="819">
        <f t="shared" si="19"/>
        <v>357.96494023904381</v>
      </c>
    </row>
    <row r="194" spans="1:11" s="334" customFormat="1" ht="17.100000000000001" customHeight="1" x14ac:dyDescent="0.25">
      <c r="A194" s="143">
        <v>3</v>
      </c>
      <c r="B194" s="63" t="s">
        <v>60</v>
      </c>
      <c r="C194" s="942">
        <v>12</v>
      </c>
      <c r="D194" s="943">
        <v>48.79</v>
      </c>
      <c r="E194" s="991">
        <v>301471</v>
      </c>
      <c r="F194" s="988">
        <f>E194*350</f>
        <v>105514850</v>
      </c>
      <c r="G194" s="1030">
        <v>3902453</v>
      </c>
      <c r="H194" s="1030">
        <v>72</v>
      </c>
      <c r="I194" s="819">
        <f t="shared" si="20"/>
        <v>350</v>
      </c>
      <c r="J194" s="819">
        <v>350</v>
      </c>
      <c r="K194" s="819">
        <f t="shared" si="19"/>
        <v>12.94470446576951</v>
      </c>
    </row>
    <row r="195" spans="1:11" s="334" customFormat="1" ht="17.100000000000001" customHeight="1" x14ac:dyDescent="0.25">
      <c r="A195" s="143">
        <v>4</v>
      </c>
      <c r="B195" s="63" t="s">
        <v>63</v>
      </c>
      <c r="C195" s="942">
        <v>12</v>
      </c>
      <c r="D195" s="943">
        <v>12</v>
      </c>
      <c r="E195" s="1030">
        <v>35687</v>
      </c>
      <c r="F195" s="942">
        <f>E195*210</f>
        <v>7494270</v>
      </c>
      <c r="G195" s="1030">
        <v>505754</v>
      </c>
      <c r="H195" s="1030">
        <v>72</v>
      </c>
      <c r="I195" s="819">
        <f t="shared" si="20"/>
        <v>210</v>
      </c>
      <c r="J195" s="819">
        <v>168.00000000000003</v>
      </c>
      <c r="K195" s="819">
        <f t="shared" si="19"/>
        <v>14.171939361672317</v>
      </c>
    </row>
    <row r="196" spans="1:11" s="334" customFormat="1" ht="17.100000000000001" customHeight="1" x14ac:dyDescent="0.25">
      <c r="A196" s="143">
        <v>5</v>
      </c>
      <c r="B196" s="63" t="s">
        <v>54</v>
      </c>
      <c r="C196" s="942">
        <v>0</v>
      </c>
      <c r="D196" s="943">
        <v>0</v>
      </c>
      <c r="E196" s="1030">
        <f>G196/32</f>
        <v>753626.3125</v>
      </c>
      <c r="F196" s="942">
        <f>E196*210</f>
        <v>158261525.625</v>
      </c>
      <c r="G196" s="1030">
        <v>24116042</v>
      </c>
      <c r="H196" s="1030">
        <v>250</v>
      </c>
      <c r="I196" s="819">
        <f t="shared" si="20"/>
        <v>210</v>
      </c>
      <c r="J196" s="819">
        <v>25</v>
      </c>
      <c r="K196" s="819">
        <f t="shared" si="19"/>
        <v>32</v>
      </c>
    </row>
    <row r="197" spans="1:11" s="334" customFormat="1" ht="17.100000000000001" customHeight="1" x14ac:dyDescent="0.25">
      <c r="A197" s="143">
        <v>6</v>
      </c>
      <c r="B197" s="63" t="s">
        <v>71</v>
      </c>
      <c r="C197" s="942">
        <v>1</v>
      </c>
      <c r="D197" s="943">
        <v>3.28</v>
      </c>
      <c r="E197" s="1030">
        <v>1185</v>
      </c>
      <c r="F197" s="942">
        <f>E197*750</f>
        <v>888750</v>
      </c>
      <c r="G197" s="1030">
        <v>747900</v>
      </c>
      <c r="H197" s="1030">
        <v>85</v>
      </c>
      <c r="I197" s="819">
        <f t="shared" si="20"/>
        <v>750</v>
      </c>
      <c r="J197" s="819">
        <v>750</v>
      </c>
      <c r="K197" s="819">
        <f t="shared" si="19"/>
        <v>631.13924050632909</v>
      </c>
    </row>
    <row r="198" spans="1:11" s="334" customFormat="1" ht="17.100000000000001" customHeight="1" x14ac:dyDescent="0.25">
      <c r="A198" s="143">
        <v>7</v>
      </c>
      <c r="B198" s="274" t="s">
        <v>31</v>
      </c>
      <c r="C198" s="942">
        <v>36</v>
      </c>
      <c r="D198" s="943">
        <v>4825.1099999999997</v>
      </c>
      <c r="E198" s="1030">
        <v>2918684</v>
      </c>
      <c r="F198" s="942">
        <f>E198*750</f>
        <v>2189013000</v>
      </c>
      <c r="G198" s="1030">
        <v>552452101</v>
      </c>
      <c r="H198" s="1030">
        <v>225</v>
      </c>
      <c r="I198" s="819">
        <f t="shared" si="20"/>
        <v>750</v>
      </c>
      <c r="J198" s="819">
        <v>750</v>
      </c>
      <c r="K198" s="819">
        <f t="shared" si="19"/>
        <v>189.28123119871833</v>
      </c>
    </row>
    <row r="199" spans="1:11" s="334" customFormat="1" ht="17.100000000000001" customHeight="1" x14ac:dyDescent="0.25">
      <c r="A199" s="143">
        <v>8</v>
      </c>
      <c r="B199" s="274" t="s">
        <v>23</v>
      </c>
      <c r="C199" s="942">
        <v>211</v>
      </c>
      <c r="D199" s="943">
        <v>5430.13</v>
      </c>
      <c r="E199" s="1030">
        <v>8107862</v>
      </c>
      <c r="F199" s="942">
        <f>E199*700</f>
        <v>5675503400</v>
      </c>
      <c r="G199" s="1030">
        <v>648976967</v>
      </c>
      <c r="H199" s="1030">
        <v>1110</v>
      </c>
      <c r="I199" s="819">
        <v>700</v>
      </c>
      <c r="J199" s="819">
        <v>675</v>
      </c>
      <c r="K199" s="819">
        <f t="shared" si="19"/>
        <v>80.042922166164146</v>
      </c>
    </row>
    <row r="200" spans="1:11" s="334" customFormat="1" ht="17.100000000000001" customHeight="1" x14ac:dyDescent="0.25">
      <c r="A200" s="143"/>
      <c r="B200" s="63" t="s">
        <v>75</v>
      </c>
      <c r="C200" s="942">
        <v>0</v>
      </c>
      <c r="D200" s="942">
        <v>0</v>
      </c>
      <c r="E200" s="942"/>
      <c r="F200" s="942"/>
      <c r="G200" s="942">
        <v>12254327</v>
      </c>
      <c r="H200" s="942"/>
      <c r="I200" s="819"/>
      <c r="J200" s="819"/>
      <c r="K200" s="819"/>
    </row>
    <row r="201" spans="1:11" s="334" customFormat="1" ht="17.100000000000001" customHeight="1" x14ac:dyDescent="0.25">
      <c r="A201" s="143"/>
      <c r="B201" s="63" t="s">
        <v>49</v>
      </c>
      <c r="C201" s="942">
        <v>0</v>
      </c>
      <c r="D201" s="942">
        <v>0</v>
      </c>
      <c r="E201" s="942"/>
      <c r="F201" s="942"/>
      <c r="G201" s="942">
        <v>160367233</v>
      </c>
      <c r="H201" s="942"/>
      <c r="I201" s="819"/>
      <c r="J201" s="819"/>
      <c r="K201" s="819"/>
    </row>
    <row r="202" spans="1:11" s="334" customFormat="1" ht="17.100000000000001" customHeight="1" x14ac:dyDescent="0.25">
      <c r="A202" s="1182" t="s">
        <v>50</v>
      </c>
      <c r="B202" s="1183"/>
      <c r="C202" s="335">
        <f>SUM(C192:C201)</f>
        <v>376</v>
      </c>
      <c r="D202" s="335">
        <f t="shared" ref="D202:H202" si="24">SUM(D192:D201)</f>
        <v>10797.97</v>
      </c>
      <c r="E202" s="335">
        <f t="shared" si="24"/>
        <v>14552921.3125</v>
      </c>
      <c r="F202" s="371">
        <f>SUM(F192:F201)</f>
        <v>9475599087.625</v>
      </c>
      <c r="G202" s="371">
        <f>SUM(G192:G201)</f>
        <v>1811272232</v>
      </c>
      <c r="H202" s="335">
        <f t="shared" si="24"/>
        <v>2335</v>
      </c>
      <c r="I202" s="819"/>
      <c r="J202" s="819"/>
      <c r="K202" s="819"/>
    </row>
    <row r="203" spans="1:11" s="334" customFormat="1" ht="17.100000000000001" customHeight="1" x14ac:dyDescent="0.25">
      <c r="A203" s="343"/>
      <c r="C203" s="344"/>
      <c r="D203" s="345"/>
      <c r="E203" s="345"/>
      <c r="F203" s="346"/>
      <c r="G203" s="346"/>
      <c r="H203" s="347"/>
      <c r="I203" s="819"/>
      <c r="J203" s="819"/>
      <c r="K203" s="819"/>
    </row>
    <row r="204" spans="1:11" s="334" customFormat="1" ht="17.100000000000001" customHeight="1" x14ac:dyDescent="0.25">
      <c r="A204" s="1188" t="s">
        <v>148</v>
      </c>
      <c r="B204" s="1188"/>
      <c r="C204" s="1188"/>
      <c r="D204" s="1188"/>
      <c r="E204" s="1188"/>
      <c r="F204" s="1188"/>
      <c r="G204" s="1188"/>
      <c r="H204" s="1188"/>
      <c r="I204" s="819"/>
      <c r="J204" s="819"/>
      <c r="K204" s="819"/>
    </row>
    <row r="205" spans="1:11" s="334" customFormat="1" ht="17.100000000000001" customHeight="1" x14ac:dyDescent="0.25">
      <c r="A205" s="1184" t="s">
        <v>182</v>
      </c>
      <c r="B205" s="1184" t="s">
        <v>3</v>
      </c>
      <c r="C205" s="1184" t="s">
        <v>4</v>
      </c>
      <c r="D205" s="336" t="s">
        <v>5</v>
      </c>
      <c r="E205" s="337" t="s">
        <v>6</v>
      </c>
      <c r="F205" s="338" t="s">
        <v>7</v>
      </c>
      <c r="G205" s="338" t="s">
        <v>8</v>
      </c>
      <c r="H205" s="337" t="s">
        <v>9</v>
      </c>
      <c r="I205" s="819"/>
      <c r="J205" s="819"/>
      <c r="K205" s="819"/>
    </row>
    <row r="206" spans="1:11" s="334" customFormat="1" ht="17.100000000000001" customHeight="1" x14ac:dyDescent="0.25">
      <c r="A206" s="1185"/>
      <c r="B206" s="1185"/>
      <c r="C206" s="1185"/>
      <c r="D206" s="302" t="s">
        <v>380</v>
      </c>
      <c r="E206" s="339" t="s">
        <v>79</v>
      </c>
      <c r="F206" s="340" t="s">
        <v>632</v>
      </c>
      <c r="G206" s="340" t="s">
        <v>671</v>
      </c>
      <c r="H206" s="303" t="s">
        <v>13</v>
      </c>
      <c r="I206" s="819"/>
      <c r="J206" s="819"/>
      <c r="K206" s="819"/>
    </row>
    <row r="207" spans="1:11" s="334" customFormat="1" ht="17.100000000000001" customHeight="1" x14ac:dyDescent="0.25">
      <c r="A207" s="143">
        <v>1</v>
      </c>
      <c r="B207" s="63" t="s">
        <v>71</v>
      </c>
      <c r="C207" s="995">
        <v>199</v>
      </c>
      <c r="D207" s="996">
        <v>830.20330000000001</v>
      </c>
      <c r="E207" s="995">
        <v>493547</v>
      </c>
      <c r="F207" s="995">
        <f>E207*850</f>
        <v>419514950</v>
      </c>
      <c r="G207" s="995">
        <v>480984809</v>
      </c>
      <c r="H207" s="995">
        <v>2985</v>
      </c>
      <c r="I207" s="819">
        <f t="shared" ref="I207:I262" si="25">F207/E207</f>
        <v>850</v>
      </c>
      <c r="J207" s="819">
        <v>900</v>
      </c>
      <c r="K207" s="819">
        <f t="shared" ref="K207:K262" si="26">G207/E207</f>
        <v>974.54712317165331</v>
      </c>
    </row>
    <row r="208" spans="1:11" s="334" customFormat="1" ht="17.100000000000001" customHeight="1" x14ac:dyDescent="0.25">
      <c r="A208" s="143"/>
      <c r="B208" s="63" t="s">
        <v>75</v>
      </c>
      <c r="C208" s="995">
        <v>0</v>
      </c>
      <c r="D208" s="995">
        <v>0</v>
      </c>
      <c r="E208" s="995"/>
      <c r="F208" s="995"/>
      <c r="G208" s="1030"/>
      <c r="H208" s="1030"/>
      <c r="I208" s="819"/>
      <c r="J208" s="819"/>
      <c r="K208" s="819"/>
    </row>
    <row r="209" spans="1:12" s="334" customFormat="1" ht="17.100000000000001" customHeight="1" x14ac:dyDescent="0.25">
      <c r="A209" s="143"/>
      <c r="B209" s="63" t="s">
        <v>49</v>
      </c>
      <c r="C209" s="995">
        <v>0</v>
      </c>
      <c r="D209" s="995">
        <v>0</v>
      </c>
      <c r="E209" s="995"/>
      <c r="F209" s="995"/>
      <c r="G209" s="1030"/>
      <c r="H209" s="1030"/>
      <c r="I209" s="819"/>
      <c r="J209" s="819"/>
      <c r="K209" s="819"/>
    </row>
    <row r="210" spans="1:12" s="334" customFormat="1" ht="17.100000000000001" customHeight="1" x14ac:dyDescent="0.25">
      <c r="A210" s="1182" t="s">
        <v>50</v>
      </c>
      <c r="B210" s="1183"/>
      <c r="C210" s="362">
        <f>SUM(C207:C209)</f>
        <v>199</v>
      </c>
      <c r="D210" s="362">
        <f t="shared" ref="D210:H210" si="27">SUM(D207:D209)</f>
        <v>830.20330000000001</v>
      </c>
      <c r="E210" s="362">
        <f t="shared" si="27"/>
        <v>493547</v>
      </c>
      <c r="F210" s="362">
        <f t="shared" si="27"/>
        <v>419514950</v>
      </c>
      <c r="G210" s="362">
        <f t="shared" si="27"/>
        <v>480984809</v>
      </c>
      <c r="H210" s="362">
        <f t="shared" si="27"/>
        <v>2985</v>
      </c>
      <c r="I210" s="819"/>
      <c r="J210" s="819"/>
      <c r="K210" s="819"/>
    </row>
    <row r="211" spans="1:12" s="334" customFormat="1" ht="17.100000000000001" customHeight="1" x14ac:dyDescent="0.25">
      <c r="A211" s="353"/>
      <c r="B211" s="354"/>
      <c r="C211" s="354"/>
      <c r="D211" s="355"/>
      <c r="E211" s="355"/>
      <c r="F211" s="356"/>
      <c r="G211" s="356"/>
      <c r="H211" s="357"/>
      <c r="I211" s="819"/>
      <c r="J211" s="819"/>
      <c r="K211" s="819"/>
    </row>
    <row r="212" spans="1:12" s="387" customFormat="1" ht="17.100000000000001" customHeight="1" x14ac:dyDescent="0.25">
      <c r="A212" s="1189" t="s">
        <v>142</v>
      </c>
      <c r="B212" s="1189"/>
      <c r="C212" s="1189"/>
      <c r="D212" s="1189"/>
      <c r="E212" s="1189"/>
      <c r="F212" s="1189"/>
      <c r="G212" s="1189"/>
      <c r="H212" s="1189"/>
      <c r="I212" s="828"/>
      <c r="J212" s="819"/>
      <c r="K212" s="828"/>
    </row>
    <row r="213" spans="1:12" s="334" customFormat="1" ht="17.100000000000001" customHeight="1" x14ac:dyDescent="0.25">
      <c r="A213" s="1184" t="s">
        <v>182</v>
      </c>
      <c r="B213" s="1184" t="s">
        <v>3</v>
      </c>
      <c r="C213" s="1184" t="s">
        <v>4</v>
      </c>
      <c r="D213" s="336" t="s">
        <v>5</v>
      </c>
      <c r="E213" s="337" t="s">
        <v>6</v>
      </c>
      <c r="F213" s="338" t="s">
        <v>7</v>
      </c>
      <c r="G213" s="338" t="s">
        <v>8</v>
      </c>
      <c r="H213" s="337" t="s">
        <v>9</v>
      </c>
      <c r="I213" s="819"/>
      <c r="J213" s="819"/>
      <c r="K213" s="819"/>
    </row>
    <row r="214" spans="1:12" s="334" customFormat="1" ht="17.100000000000001" customHeight="1" x14ac:dyDescent="0.25">
      <c r="A214" s="1185"/>
      <c r="B214" s="1201"/>
      <c r="C214" s="1185"/>
      <c r="D214" s="302" t="s">
        <v>380</v>
      </c>
      <c r="E214" s="339" t="s">
        <v>79</v>
      </c>
      <c r="F214" s="340" t="s">
        <v>632</v>
      </c>
      <c r="G214" s="340" t="s">
        <v>671</v>
      </c>
      <c r="H214" s="303" t="s">
        <v>13</v>
      </c>
      <c r="I214" s="819"/>
      <c r="J214" s="819"/>
      <c r="K214" s="819"/>
    </row>
    <row r="215" spans="1:12" s="334" customFormat="1" ht="17.100000000000001" customHeight="1" x14ac:dyDescent="0.25">
      <c r="A215" s="145">
        <v>1</v>
      </c>
      <c r="B215" s="166" t="s">
        <v>71</v>
      </c>
      <c r="C215" s="997">
        <v>363</v>
      </c>
      <c r="D215" s="997">
        <v>644.04999999999995</v>
      </c>
      <c r="E215" s="997">
        <v>778181</v>
      </c>
      <c r="F215" s="997">
        <v>622545320</v>
      </c>
      <c r="G215" s="997">
        <v>62674518</v>
      </c>
      <c r="H215" s="997">
        <v>4500</v>
      </c>
      <c r="I215" s="819">
        <v>750</v>
      </c>
      <c r="J215" s="819">
        <v>750</v>
      </c>
      <c r="K215" s="819" t="e">
        <f>#REF!/#REF!</f>
        <v>#REF!</v>
      </c>
    </row>
    <row r="216" spans="1:12" s="334" customFormat="1" ht="17.100000000000001" customHeight="1" x14ac:dyDescent="0.25">
      <c r="A216" s="145">
        <v>2</v>
      </c>
      <c r="B216" s="166" t="s">
        <v>63</v>
      </c>
      <c r="C216" s="997">
        <v>56</v>
      </c>
      <c r="D216" s="997">
        <v>62.51</v>
      </c>
      <c r="E216" s="997">
        <v>781411</v>
      </c>
      <c r="F216" s="997">
        <v>187538649</v>
      </c>
      <c r="G216" s="997">
        <v>33175543</v>
      </c>
      <c r="H216" s="997">
        <v>250</v>
      </c>
      <c r="I216" s="819">
        <f t="shared" si="25"/>
        <v>240.00001151762646</v>
      </c>
      <c r="J216" s="819">
        <v>200</v>
      </c>
      <c r="K216" s="819" t="e">
        <f>#REF!/#REF!</f>
        <v>#REF!</v>
      </c>
    </row>
    <row r="217" spans="1:12" s="334" customFormat="1" ht="17.100000000000001" customHeight="1" x14ac:dyDescent="0.25">
      <c r="A217" s="145">
        <v>3</v>
      </c>
      <c r="B217" s="63" t="s">
        <v>62</v>
      </c>
      <c r="C217" s="997">
        <v>11</v>
      </c>
      <c r="D217" s="997">
        <v>31.82</v>
      </c>
      <c r="E217" s="997">
        <v>121994.51</v>
      </c>
      <c r="F217" s="997">
        <v>225689843</v>
      </c>
      <c r="G217" s="997">
        <v>5801061</v>
      </c>
      <c r="H217" s="997">
        <v>150</v>
      </c>
      <c r="I217" s="819">
        <f t="shared" si="25"/>
        <v>1849.9999959014549</v>
      </c>
      <c r="J217" s="819">
        <v>1650</v>
      </c>
      <c r="K217" s="819" t="e">
        <f>#REF!/#REF!</f>
        <v>#REF!</v>
      </c>
    </row>
    <row r="218" spans="1:12" s="334" customFormat="1" ht="17.100000000000001" customHeight="1" x14ac:dyDescent="0.25">
      <c r="A218" s="145">
        <v>4</v>
      </c>
      <c r="B218" s="63" t="s">
        <v>73</v>
      </c>
      <c r="C218" s="974">
        <v>0</v>
      </c>
      <c r="D218" s="974">
        <v>0</v>
      </c>
      <c r="E218" s="974">
        <v>0</v>
      </c>
      <c r="F218" s="974">
        <v>0</v>
      </c>
      <c r="G218" s="974">
        <v>0</v>
      </c>
      <c r="H218" s="974">
        <v>0</v>
      </c>
      <c r="I218" s="819" t="e">
        <f t="shared" si="25"/>
        <v>#DIV/0!</v>
      </c>
      <c r="J218" s="819" t="e">
        <v>#DIV/0!</v>
      </c>
      <c r="K218" s="819" t="e">
        <f>#REF!/#REF!</f>
        <v>#REF!</v>
      </c>
    </row>
    <row r="219" spans="1:12" s="334" customFormat="1" ht="17.100000000000001" customHeight="1" x14ac:dyDescent="0.25">
      <c r="A219" s="145">
        <v>5</v>
      </c>
      <c r="B219" s="63" t="s">
        <v>60</v>
      </c>
      <c r="C219" s="997">
        <v>4</v>
      </c>
      <c r="D219" s="997">
        <v>10.28</v>
      </c>
      <c r="E219" s="997">
        <v>24000.99</v>
      </c>
      <c r="F219" s="997">
        <v>9360386</v>
      </c>
      <c r="G219" s="974">
        <v>3480143</v>
      </c>
      <c r="H219" s="997">
        <v>35</v>
      </c>
      <c r="I219" s="819">
        <f t="shared" si="25"/>
        <v>389.99999583350518</v>
      </c>
      <c r="J219" s="819">
        <v>150</v>
      </c>
      <c r="K219" s="819" t="e">
        <f>#REF!/#REF!</f>
        <v>#REF!</v>
      </c>
    </row>
    <row r="220" spans="1:12" s="334" customFormat="1" ht="17.100000000000001" customHeight="1" x14ac:dyDescent="0.25">
      <c r="A220" s="145">
        <v>6</v>
      </c>
      <c r="B220" s="166" t="s">
        <v>59</v>
      </c>
      <c r="C220" s="974">
        <v>1</v>
      </c>
      <c r="D220" s="974">
        <v>141.44999999999999</v>
      </c>
      <c r="E220" s="608">
        <v>0</v>
      </c>
      <c r="F220" s="974">
        <v>0</v>
      </c>
      <c r="G220" s="974">
        <v>0</v>
      </c>
      <c r="H220" s="974">
        <v>0</v>
      </c>
      <c r="I220" s="819" t="e">
        <f t="shared" si="25"/>
        <v>#DIV/0!</v>
      </c>
      <c r="J220" s="819">
        <v>274.99999994904999</v>
      </c>
      <c r="K220" s="819" t="e">
        <f>#REF!/#REF!</f>
        <v>#REF!</v>
      </c>
      <c r="L220" s="974"/>
    </row>
    <row r="221" spans="1:12" s="334" customFormat="1" ht="17.100000000000001" customHeight="1" x14ac:dyDescent="0.25">
      <c r="A221" s="145">
        <v>7</v>
      </c>
      <c r="B221" s="604" t="s">
        <v>38</v>
      </c>
      <c r="C221" s="974">
        <v>0</v>
      </c>
      <c r="D221" s="974">
        <v>0</v>
      </c>
      <c r="E221" s="608">
        <f>7226.53+7759.95+44.01</f>
        <v>15030.49</v>
      </c>
      <c r="F221" s="974">
        <f>E221*260</f>
        <v>3907927.4</v>
      </c>
      <c r="G221" s="974">
        <f>2928461+7765</f>
        <v>2936226</v>
      </c>
      <c r="H221" s="974">
        <v>50</v>
      </c>
      <c r="I221" s="819">
        <f t="shared" si="25"/>
        <v>260</v>
      </c>
      <c r="J221" s="819">
        <v>250</v>
      </c>
      <c r="K221" s="819" t="e">
        <f>#REF!/#REF!</f>
        <v>#REF!</v>
      </c>
    </row>
    <row r="222" spans="1:12" s="334" customFormat="1" ht="17.100000000000001" customHeight="1" x14ac:dyDescent="0.25">
      <c r="A222" s="145">
        <v>8</v>
      </c>
      <c r="B222" s="330" t="s">
        <v>44</v>
      </c>
      <c r="C222" s="997">
        <v>1</v>
      </c>
      <c r="D222" s="997">
        <v>59.5</v>
      </c>
      <c r="E222" s="997">
        <v>0</v>
      </c>
      <c r="F222" s="997"/>
      <c r="G222" s="997" t="s">
        <v>131</v>
      </c>
      <c r="H222" s="997">
        <v>0</v>
      </c>
      <c r="I222" s="819" t="e">
        <f t="shared" si="25"/>
        <v>#DIV/0!</v>
      </c>
      <c r="J222" s="819" t="e">
        <v>#DIV/0!</v>
      </c>
      <c r="K222" s="819" t="e">
        <f>#REF!/#REF!</f>
        <v>#REF!</v>
      </c>
    </row>
    <row r="223" spans="1:12" s="334" customFormat="1" ht="17.100000000000001" customHeight="1" x14ac:dyDescent="0.25">
      <c r="A223" s="145">
        <v>9</v>
      </c>
      <c r="B223" s="843" t="s">
        <v>26</v>
      </c>
      <c r="C223" s="997">
        <v>4</v>
      </c>
      <c r="D223" s="997">
        <v>74.62</v>
      </c>
      <c r="E223" s="997">
        <v>24418.99</v>
      </c>
      <c r="F223" s="997">
        <f>E223*440</f>
        <v>10744355.600000001</v>
      </c>
      <c r="G223" s="997">
        <v>754734</v>
      </c>
      <c r="H223" s="997">
        <v>25</v>
      </c>
      <c r="I223" s="819">
        <f t="shared" si="25"/>
        <v>440.00000000000006</v>
      </c>
      <c r="J223" s="819">
        <v>430</v>
      </c>
      <c r="K223" s="819" t="e">
        <f>#REF!/#REF!</f>
        <v>#REF!</v>
      </c>
    </row>
    <row r="224" spans="1:12" s="334" customFormat="1" ht="17.100000000000001" customHeight="1" x14ac:dyDescent="0.25">
      <c r="A224" s="145">
        <v>10</v>
      </c>
      <c r="B224" s="493" t="s">
        <v>40</v>
      </c>
      <c r="C224" s="997">
        <v>0</v>
      </c>
      <c r="D224" s="997">
        <v>0</v>
      </c>
      <c r="E224" s="997">
        <v>314.04000000000002</v>
      </c>
      <c r="F224" s="997">
        <f>E224*660</f>
        <v>207266.40000000002</v>
      </c>
      <c r="G224" s="997">
        <v>5167</v>
      </c>
      <c r="H224" s="997">
        <v>5</v>
      </c>
      <c r="I224" s="819">
        <f t="shared" si="25"/>
        <v>660</v>
      </c>
      <c r="J224" s="819"/>
      <c r="K224" s="819"/>
    </row>
    <row r="225" spans="1:11" s="334" customFormat="1" ht="17.100000000000001" customHeight="1" x14ac:dyDescent="0.25">
      <c r="A225" s="145"/>
      <c r="B225" s="63" t="s">
        <v>75</v>
      </c>
      <c r="C225" s="998">
        <v>0</v>
      </c>
      <c r="D225" s="998">
        <v>0</v>
      </c>
      <c r="E225" s="998"/>
      <c r="F225" s="998"/>
      <c r="G225" s="999">
        <v>30080000</v>
      </c>
      <c r="H225" s="1000">
        <v>0</v>
      </c>
      <c r="I225" s="819"/>
      <c r="J225" s="819"/>
      <c r="K225" s="819"/>
    </row>
    <row r="226" spans="1:11" s="334" customFormat="1" ht="17.100000000000001" customHeight="1" x14ac:dyDescent="0.25">
      <c r="A226" s="145"/>
      <c r="B226" s="63" t="s">
        <v>49</v>
      </c>
      <c r="C226" s="1001">
        <v>0</v>
      </c>
      <c r="D226" s="1001">
        <v>0</v>
      </c>
      <c r="E226" s="1001"/>
      <c r="F226" s="1001"/>
      <c r="G226" s="997">
        <v>0</v>
      </c>
      <c r="H226" s="1030">
        <v>0</v>
      </c>
      <c r="I226" s="819"/>
      <c r="J226" s="819"/>
      <c r="K226" s="819"/>
    </row>
    <row r="227" spans="1:11" s="334" customFormat="1" ht="17.100000000000001" customHeight="1" x14ac:dyDescent="0.25">
      <c r="A227" s="1182" t="s">
        <v>50</v>
      </c>
      <c r="B227" s="1183"/>
      <c r="C227" s="335">
        <f>SUM(C215:C226)</f>
        <v>440</v>
      </c>
      <c r="D227" s="335">
        <f t="shared" ref="D227:H227" si="28">SUM(D215:D226)</f>
        <v>1024.23</v>
      </c>
      <c r="E227" s="335">
        <f t="shared" si="28"/>
        <v>1745351.02</v>
      </c>
      <c r="F227" s="335">
        <f t="shared" si="28"/>
        <v>1059993747.4</v>
      </c>
      <c r="G227" s="335">
        <f t="shared" si="28"/>
        <v>138907392</v>
      </c>
      <c r="H227" s="335">
        <f t="shared" si="28"/>
        <v>5015</v>
      </c>
      <c r="I227" s="819"/>
      <c r="J227" s="819"/>
      <c r="K227" s="819"/>
    </row>
    <row r="228" spans="1:11" s="334" customFormat="1" ht="17.100000000000001" customHeight="1" x14ac:dyDescent="0.25">
      <c r="A228" s="343"/>
      <c r="B228" s="349"/>
      <c r="C228" s="349"/>
      <c r="D228" s="350"/>
      <c r="E228" s="350"/>
      <c r="F228" s="351"/>
      <c r="G228" s="351"/>
      <c r="H228" s="347"/>
      <c r="I228" s="819"/>
      <c r="J228" s="819"/>
      <c r="K228" s="819"/>
    </row>
    <row r="229" spans="1:11" s="334" customFormat="1" ht="17.100000000000001" customHeight="1" x14ac:dyDescent="0.25">
      <c r="A229" s="1188" t="s">
        <v>375</v>
      </c>
      <c r="B229" s="1188"/>
      <c r="C229" s="1188"/>
      <c r="D229" s="1188"/>
      <c r="E229" s="1188"/>
      <c r="F229" s="1188"/>
      <c r="G229" s="1188"/>
      <c r="H229" s="1188"/>
      <c r="I229" s="819"/>
      <c r="J229" s="819"/>
      <c r="K229" s="819"/>
    </row>
    <row r="230" spans="1:11" s="334" customFormat="1" ht="17.100000000000001" customHeight="1" x14ac:dyDescent="0.25">
      <c r="A230" s="1184" t="s">
        <v>182</v>
      </c>
      <c r="B230" s="1184" t="s">
        <v>3</v>
      </c>
      <c r="C230" s="1184" t="s">
        <v>4</v>
      </c>
      <c r="D230" s="336" t="s">
        <v>5</v>
      </c>
      <c r="E230" s="337" t="s">
        <v>6</v>
      </c>
      <c r="F230" s="338" t="s">
        <v>7</v>
      </c>
      <c r="G230" s="338" t="s">
        <v>8</v>
      </c>
      <c r="H230" s="337" t="s">
        <v>9</v>
      </c>
      <c r="I230" s="819"/>
      <c r="J230" s="819"/>
      <c r="K230" s="819"/>
    </row>
    <row r="231" spans="1:11" s="334" customFormat="1" ht="17.100000000000001" customHeight="1" x14ac:dyDescent="0.25">
      <c r="A231" s="1185"/>
      <c r="B231" s="1185"/>
      <c r="C231" s="1185"/>
      <c r="D231" s="302" t="s">
        <v>380</v>
      </c>
      <c r="E231" s="339" t="s">
        <v>79</v>
      </c>
      <c r="F231" s="340" t="s">
        <v>632</v>
      </c>
      <c r="G231" s="340" t="s">
        <v>671</v>
      </c>
      <c r="H231" s="303" t="s">
        <v>13</v>
      </c>
      <c r="I231" s="819"/>
      <c r="J231" s="819"/>
      <c r="K231" s="819"/>
    </row>
    <row r="232" spans="1:11" s="334" customFormat="1" ht="17.100000000000001" customHeight="1" x14ac:dyDescent="0.25">
      <c r="A232" s="143">
        <v>1</v>
      </c>
      <c r="B232" s="63" t="s">
        <v>62</v>
      </c>
      <c r="C232" s="942">
        <v>14</v>
      </c>
      <c r="D232" s="942">
        <v>33.17</v>
      </c>
      <c r="E232" s="942">
        <v>8447</v>
      </c>
      <c r="F232" s="942">
        <v>16049775</v>
      </c>
      <c r="G232" s="942">
        <v>5330692</v>
      </c>
      <c r="H232" s="942">
        <v>15</v>
      </c>
      <c r="I232" s="819">
        <f t="shared" si="25"/>
        <v>1900.0562329821239</v>
      </c>
      <c r="J232" s="819">
        <v>1850</v>
      </c>
      <c r="K232" s="819">
        <f t="shared" si="26"/>
        <v>631.0751746182076</v>
      </c>
    </row>
    <row r="233" spans="1:11" s="334" customFormat="1" ht="17.100000000000001" customHeight="1" x14ac:dyDescent="0.25">
      <c r="A233" s="143">
        <v>2</v>
      </c>
      <c r="B233" s="63" t="s">
        <v>63</v>
      </c>
      <c r="C233" s="998">
        <v>161</v>
      </c>
      <c r="D233" s="998">
        <v>179.51</v>
      </c>
      <c r="E233" s="998">
        <v>7686162</v>
      </c>
      <c r="F233" s="998">
        <v>1383509270</v>
      </c>
      <c r="G233" s="998">
        <v>436037862</v>
      </c>
      <c r="H233" s="998">
        <v>540</v>
      </c>
      <c r="I233" s="819">
        <f t="shared" si="25"/>
        <v>180.00001431143397</v>
      </c>
      <c r="J233" s="819">
        <v>180.00000006048708</v>
      </c>
      <c r="K233" s="819">
        <f t="shared" si="26"/>
        <v>56.730246122837379</v>
      </c>
    </row>
    <row r="234" spans="1:11" s="334" customFormat="1" ht="17.100000000000001" customHeight="1" x14ac:dyDescent="0.25">
      <c r="A234" s="143">
        <f>+A233+1</f>
        <v>3</v>
      </c>
      <c r="B234" s="63" t="s">
        <v>54</v>
      </c>
      <c r="C234" s="998">
        <v>4</v>
      </c>
      <c r="D234" s="998">
        <v>3.01</v>
      </c>
      <c r="E234" s="998">
        <v>358070</v>
      </c>
      <c r="F234" s="998">
        <v>89517500</v>
      </c>
      <c r="G234" s="998">
        <v>13337595</v>
      </c>
      <c r="H234" s="998">
        <v>150</v>
      </c>
      <c r="I234" s="819">
        <f t="shared" si="25"/>
        <v>250</v>
      </c>
      <c r="J234" s="819">
        <v>220</v>
      </c>
      <c r="K234" s="819">
        <f t="shared" si="26"/>
        <v>37.248568715614269</v>
      </c>
    </row>
    <row r="235" spans="1:11" s="334" customFormat="1" ht="17.100000000000001" customHeight="1" x14ac:dyDescent="0.25">
      <c r="A235" s="143">
        <f>+A234+1</f>
        <v>4</v>
      </c>
      <c r="B235" s="63" t="s">
        <v>71</v>
      </c>
      <c r="C235" s="998">
        <v>0</v>
      </c>
      <c r="D235" s="998">
        <v>0</v>
      </c>
      <c r="E235" s="998">
        <v>11389</v>
      </c>
      <c r="F235" s="998">
        <v>9111200</v>
      </c>
      <c r="G235" s="998">
        <v>3169357</v>
      </c>
      <c r="H235" s="998">
        <v>15</v>
      </c>
      <c r="I235" s="819">
        <f t="shared" si="25"/>
        <v>800</v>
      </c>
      <c r="J235" s="819">
        <v>690</v>
      </c>
      <c r="K235" s="819">
        <f t="shared" si="26"/>
        <v>278.28228992887875</v>
      </c>
    </row>
    <row r="236" spans="1:11" s="334" customFormat="1" ht="17.100000000000001" customHeight="1" x14ac:dyDescent="0.25">
      <c r="A236" s="143">
        <v>5</v>
      </c>
      <c r="B236" s="274" t="s">
        <v>31</v>
      </c>
      <c r="C236" s="998">
        <v>0</v>
      </c>
      <c r="D236" s="998">
        <v>0</v>
      </c>
      <c r="E236" s="998">
        <v>170052</v>
      </c>
      <c r="F236" s="998">
        <v>102031512</v>
      </c>
      <c r="G236" s="998">
        <v>12638400</v>
      </c>
      <c r="H236" s="998">
        <v>15</v>
      </c>
      <c r="I236" s="819">
        <f t="shared" si="25"/>
        <v>600.00183473290519</v>
      </c>
      <c r="J236" s="819">
        <v>749.99999999999989</v>
      </c>
      <c r="K236" s="819">
        <f t="shared" si="26"/>
        <v>74.320795991814265</v>
      </c>
    </row>
    <row r="237" spans="1:11" s="334" customFormat="1" ht="17.100000000000001" customHeight="1" x14ac:dyDescent="0.25">
      <c r="A237" s="143"/>
      <c r="B237" s="63" t="s">
        <v>75</v>
      </c>
      <c r="C237" s="998">
        <v>0</v>
      </c>
      <c r="D237" s="998">
        <v>0</v>
      </c>
      <c r="E237" s="998"/>
      <c r="F237" s="998"/>
      <c r="G237" s="998">
        <v>7789551</v>
      </c>
      <c r="H237" s="998"/>
      <c r="I237" s="819"/>
      <c r="J237" s="819"/>
      <c r="K237" s="819"/>
    </row>
    <row r="238" spans="1:11" s="334" customFormat="1" ht="17.100000000000001" customHeight="1" x14ac:dyDescent="0.25">
      <c r="A238" s="143"/>
      <c r="B238" s="63" t="s">
        <v>49</v>
      </c>
      <c r="C238" s="998">
        <v>0</v>
      </c>
      <c r="D238" s="998">
        <v>0</v>
      </c>
      <c r="E238" s="998"/>
      <c r="F238" s="998"/>
      <c r="G238" s="998"/>
      <c r="H238" s="998"/>
      <c r="I238" s="819"/>
      <c r="J238" s="819"/>
      <c r="K238" s="819"/>
    </row>
    <row r="239" spans="1:11" s="334" customFormat="1" ht="17.100000000000001" customHeight="1" x14ac:dyDescent="0.25">
      <c r="A239" s="1182" t="s">
        <v>50</v>
      </c>
      <c r="B239" s="1183"/>
      <c r="C239" s="335">
        <f>SUM(C232:C238)</f>
        <v>179</v>
      </c>
      <c r="D239" s="335">
        <f t="shared" ref="D239:H239" si="29">SUM(D232:D238)</f>
        <v>215.69</v>
      </c>
      <c r="E239" s="371">
        <f>SUM(E232:E238)</f>
        <v>8234120</v>
      </c>
      <c r="F239" s="335">
        <f>SUM(F232:F238)</f>
        <v>1600219257</v>
      </c>
      <c r="G239" s="591">
        <f>SUM(G232:G238)</f>
        <v>478303457</v>
      </c>
      <c r="H239" s="335">
        <f t="shared" si="29"/>
        <v>735</v>
      </c>
      <c r="I239" s="819"/>
      <c r="J239" s="819"/>
      <c r="K239" s="819"/>
    </row>
    <row r="240" spans="1:11" s="334" customFormat="1" ht="17.100000000000001" customHeight="1" x14ac:dyDescent="0.25">
      <c r="A240" s="343"/>
      <c r="B240" s="349"/>
      <c r="C240" s="349"/>
      <c r="D240" s="350"/>
      <c r="E240" s="350"/>
      <c r="F240" s="351"/>
      <c r="G240" s="351"/>
      <c r="H240" s="347"/>
      <c r="I240" s="819"/>
      <c r="J240" s="819"/>
      <c r="K240" s="819"/>
    </row>
    <row r="241" spans="1:11" s="334" customFormat="1" ht="17.100000000000001" customHeight="1" x14ac:dyDescent="0.25">
      <c r="A241" s="343"/>
      <c r="B241" s="349"/>
      <c r="C241" s="349"/>
      <c r="D241" s="350"/>
      <c r="E241" s="350"/>
      <c r="F241" s="351"/>
      <c r="G241" s="351"/>
      <c r="H241" s="347"/>
      <c r="I241" s="819"/>
      <c r="J241" s="819"/>
      <c r="K241" s="819"/>
    </row>
    <row r="242" spans="1:11" s="334" customFormat="1" ht="17.100000000000001" customHeight="1" x14ac:dyDescent="0.25">
      <c r="A242" s="1188" t="s">
        <v>104</v>
      </c>
      <c r="B242" s="1188"/>
      <c r="C242" s="1188"/>
      <c r="D242" s="1188"/>
      <c r="E242" s="1188"/>
      <c r="F242" s="1188"/>
      <c r="G242" s="1188"/>
      <c r="H242" s="1188"/>
      <c r="I242" s="819"/>
      <c r="J242" s="819"/>
      <c r="K242" s="819"/>
    </row>
    <row r="243" spans="1:11" s="334" customFormat="1" ht="17.100000000000001" customHeight="1" x14ac:dyDescent="0.25">
      <c r="A243" s="1184" t="s">
        <v>182</v>
      </c>
      <c r="B243" s="1184" t="s">
        <v>3</v>
      </c>
      <c r="C243" s="1184" t="s">
        <v>4</v>
      </c>
      <c r="D243" s="336" t="s">
        <v>5</v>
      </c>
      <c r="E243" s="337" t="s">
        <v>6</v>
      </c>
      <c r="F243" s="338" t="s">
        <v>7</v>
      </c>
      <c r="G243" s="338" t="s">
        <v>8</v>
      </c>
      <c r="H243" s="337" t="s">
        <v>9</v>
      </c>
      <c r="I243" s="819"/>
      <c r="J243" s="819"/>
      <c r="K243" s="819"/>
    </row>
    <row r="244" spans="1:11" s="334" customFormat="1" ht="17.100000000000001" customHeight="1" x14ac:dyDescent="0.25">
      <c r="A244" s="1185"/>
      <c r="B244" s="1185"/>
      <c r="C244" s="1185"/>
      <c r="D244" s="302" t="s">
        <v>380</v>
      </c>
      <c r="E244" s="339" t="s">
        <v>79</v>
      </c>
      <c r="F244" s="340" t="s">
        <v>632</v>
      </c>
      <c r="G244" s="340" t="s">
        <v>671</v>
      </c>
      <c r="H244" s="303" t="s">
        <v>13</v>
      </c>
      <c r="I244" s="819"/>
      <c r="J244" s="819"/>
      <c r="K244" s="819"/>
    </row>
    <row r="245" spans="1:11" s="334" customFormat="1" ht="17.100000000000001" customHeight="1" x14ac:dyDescent="0.25">
      <c r="A245" s="143">
        <v>1</v>
      </c>
      <c r="B245" s="63" t="s">
        <v>60</v>
      </c>
      <c r="C245" s="1026">
        <v>1</v>
      </c>
      <c r="D245" s="1026">
        <v>1</v>
      </c>
      <c r="E245" s="1026"/>
      <c r="F245" s="1026"/>
      <c r="G245" s="1026"/>
      <c r="H245" s="1026"/>
      <c r="I245" s="819" t="e">
        <f t="shared" si="25"/>
        <v>#DIV/0!</v>
      </c>
      <c r="J245" s="819">
        <v>349.99999885666665</v>
      </c>
      <c r="K245" s="819" t="e">
        <f t="shared" si="26"/>
        <v>#DIV/0!</v>
      </c>
    </row>
    <row r="246" spans="1:11" s="334" customFormat="1" ht="17.100000000000001" customHeight="1" x14ac:dyDescent="0.25">
      <c r="A246" s="143">
        <v>2</v>
      </c>
      <c r="B246" s="63" t="s">
        <v>63</v>
      </c>
      <c r="C246" s="1026">
        <v>32</v>
      </c>
      <c r="D246" s="1026">
        <v>37.200000000000003</v>
      </c>
      <c r="E246" s="1026">
        <v>266092</v>
      </c>
      <c r="F246" s="1026">
        <f>E246*215</f>
        <v>57209780</v>
      </c>
      <c r="G246" s="1094">
        <v>10084520</v>
      </c>
      <c r="H246" s="1094">
        <v>15</v>
      </c>
      <c r="I246" s="819">
        <f t="shared" si="25"/>
        <v>215</v>
      </c>
      <c r="J246" s="819">
        <v>180</v>
      </c>
      <c r="K246" s="819">
        <f t="shared" si="26"/>
        <v>37.898621529395847</v>
      </c>
    </row>
    <row r="247" spans="1:11" s="334" customFormat="1" ht="17.100000000000001" customHeight="1" x14ac:dyDescent="0.25">
      <c r="A247" s="143">
        <v>3</v>
      </c>
      <c r="B247" s="63" t="s">
        <v>59</v>
      </c>
      <c r="C247" s="1026">
        <v>4</v>
      </c>
      <c r="D247" s="1026">
        <v>1496.05</v>
      </c>
      <c r="E247" s="1026">
        <v>433398</v>
      </c>
      <c r="F247" s="1026">
        <f>E247*550</f>
        <v>238368900</v>
      </c>
      <c r="G247" s="1094">
        <v>45893402</v>
      </c>
      <c r="H247" s="1094">
        <v>27</v>
      </c>
      <c r="I247" s="819">
        <v>280</v>
      </c>
      <c r="J247" s="819">
        <v>299.99999895959945</v>
      </c>
      <c r="K247" s="819">
        <f t="shared" si="26"/>
        <v>105.89204841739001</v>
      </c>
    </row>
    <row r="248" spans="1:11" s="334" customFormat="1" ht="17.100000000000001" customHeight="1" x14ac:dyDescent="0.25">
      <c r="A248" s="143">
        <v>4</v>
      </c>
      <c r="B248" s="63" t="s">
        <v>144</v>
      </c>
      <c r="C248" s="1026">
        <v>0</v>
      </c>
      <c r="D248" s="1026">
        <v>0</v>
      </c>
      <c r="E248" s="1026">
        <v>662818</v>
      </c>
      <c r="F248" s="1026">
        <f>E248*1050</f>
        <v>695958900</v>
      </c>
      <c r="G248" s="1094">
        <v>26266308</v>
      </c>
      <c r="H248" s="1026">
        <v>50</v>
      </c>
      <c r="I248" s="819">
        <v>1050</v>
      </c>
      <c r="J248" s="819">
        <v>950</v>
      </c>
      <c r="K248" s="819">
        <f t="shared" si="26"/>
        <v>39.628235805304023</v>
      </c>
    </row>
    <row r="249" spans="1:11" s="334" customFormat="1" ht="17.100000000000001" customHeight="1" x14ac:dyDescent="0.25">
      <c r="A249" s="143">
        <v>5</v>
      </c>
      <c r="B249" s="63" t="s">
        <v>71</v>
      </c>
      <c r="C249" s="1026">
        <v>0</v>
      </c>
      <c r="D249" s="1026">
        <v>0</v>
      </c>
      <c r="E249" s="1099">
        <f>G249/100</f>
        <v>32094.57</v>
      </c>
      <c r="F249" s="1099">
        <f>E249*1000</f>
        <v>32094570</v>
      </c>
      <c r="G249" s="1094">
        <v>3209457</v>
      </c>
      <c r="H249" s="1026">
        <v>70</v>
      </c>
      <c r="I249" s="819">
        <f t="shared" si="25"/>
        <v>1000</v>
      </c>
      <c r="J249" s="819">
        <v>700</v>
      </c>
      <c r="K249" s="819">
        <f t="shared" si="26"/>
        <v>100</v>
      </c>
    </row>
    <row r="250" spans="1:11" s="334" customFormat="1" ht="17.100000000000001" customHeight="1" x14ac:dyDescent="0.25">
      <c r="A250" s="143">
        <v>6</v>
      </c>
      <c r="B250" s="63" t="s">
        <v>58</v>
      </c>
      <c r="C250" s="1026">
        <v>4</v>
      </c>
      <c r="D250" s="1026">
        <v>8.57</v>
      </c>
      <c r="E250" s="1100">
        <f>G250/310</f>
        <v>1827.4193548387098</v>
      </c>
      <c r="F250" s="1099">
        <f>E250*2150</f>
        <v>3928951.6129032262</v>
      </c>
      <c r="G250" s="1094">
        <v>566500</v>
      </c>
      <c r="H250" s="1026">
        <v>35</v>
      </c>
      <c r="I250" s="819">
        <f t="shared" si="25"/>
        <v>2150</v>
      </c>
      <c r="J250" s="819">
        <v>2100</v>
      </c>
      <c r="K250" s="819">
        <f t="shared" si="26"/>
        <v>310</v>
      </c>
    </row>
    <row r="251" spans="1:11" s="334" customFormat="1" ht="17.100000000000001" customHeight="1" x14ac:dyDescent="0.25">
      <c r="A251" s="143">
        <v>7</v>
      </c>
      <c r="B251" s="63" t="s">
        <v>54</v>
      </c>
      <c r="C251" s="1026">
        <v>0</v>
      </c>
      <c r="D251" s="1026">
        <v>0</v>
      </c>
      <c r="E251" s="1026">
        <v>89880</v>
      </c>
      <c r="F251" s="1101">
        <f>E251*200</f>
        <v>17976000</v>
      </c>
      <c r="G251" s="1094">
        <v>3866038</v>
      </c>
      <c r="H251" s="1026">
        <v>40</v>
      </c>
      <c r="I251" s="819">
        <v>200</v>
      </c>
      <c r="J251" s="819">
        <v>200</v>
      </c>
      <c r="K251" s="819">
        <f t="shared" si="26"/>
        <v>43.013328882955051</v>
      </c>
    </row>
    <row r="252" spans="1:11" s="334" customFormat="1" ht="17.100000000000001" customHeight="1" x14ac:dyDescent="0.25">
      <c r="A252" s="143">
        <v>8</v>
      </c>
      <c r="B252" s="63" t="s">
        <v>65</v>
      </c>
      <c r="C252" s="1026">
        <v>0</v>
      </c>
      <c r="D252" s="1026">
        <v>0</v>
      </c>
      <c r="E252" s="1026">
        <v>148794</v>
      </c>
      <c r="F252" s="1026">
        <f>E252*28</f>
        <v>4166232</v>
      </c>
      <c r="G252" s="1094">
        <v>15954867</v>
      </c>
      <c r="H252" s="1026">
        <v>50</v>
      </c>
      <c r="I252" s="819">
        <f t="shared" si="25"/>
        <v>28</v>
      </c>
      <c r="J252" s="819">
        <v>210</v>
      </c>
      <c r="K252" s="819">
        <f t="shared" si="26"/>
        <v>107.22789225371992</v>
      </c>
    </row>
    <row r="253" spans="1:11" s="334" customFormat="1" ht="17.100000000000001" customHeight="1" x14ac:dyDescent="0.25">
      <c r="A253" s="143">
        <v>9</v>
      </c>
      <c r="B253" s="63" t="s">
        <v>74</v>
      </c>
      <c r="C253" s="1026">
        <v>0</v>
      </c>
      <c r="D253" s="1026">
        <v>0</v>
      </c>
      <c r="E253" s="1026">
        <v>0</v>
      </c>
      <c r="F253" s="1026">
        <v>0</v>
      </c>
      <c r="G253" s="1026">
        <v>0</v>
      </c>
      <c r="H253" s="1026">
        <v>0</v>
      </c>
      <c r="I253" s="819" t="e">
        <f t="shared" si="25"/>
        <v>#DIV/0!</v>
      </c>
      <c r="J253" s="819" t="e">
        <v>#DIV/0!</v>
      </c>
      <c r="K253" s="819" t="e">
        <f t="shared" si="26"/>
        <v>#DIV/0!</v>
      </c>
    </row>
    <row r="254" spans="1:11" s="334" customFormat="1" ht="17.100000000000001" customHeight="1" x14ac:dyDescent="0.25">
      <c r="A254" s="143">
        <v>10</v>
      </c>
      <c r="B254" s="63" t="s">
        <v>194</v>
      </c>
      <c r="C254" s="1026">
        <v>0</v>
      </c>
      <c r="D254" s="1026">
        <v>0</v>
      </c>
      <c r="E254" s="1026">
        <v>0</v>
      </c>
      <c r="F254" s="1026">
        <v>0</v>
      </c>
      <c r="G254" s="1026">
        <v>0</v>
      </c>
      <c r="H254" s="1026">
        <v>0</v>
      </c>
      <c r="I254" s="819" t="e">
        <f t="shared" si="25"/>
        <v>#DIV/0!</v>
      </c>
      <c r="J254" s="819" t="e">
        <v>#DIV/0!</v>
      </c>
      <c r="K254" s="819" t="e">
        <f t="shared" si="26"/>
        <v>#DIV/0!</v>
      </c>
    </row>
    <row r="255" spans="1:11" s="334" customFormat="1" ht="17.100000000000001" customHeight="1" x14ac:dyDescent="0.25">
      <c r="A255" s="143">
        <v>11</v>
      </c>
      <c r="B255" s="63" t="s">
        <v>188</v>
      </c>
      <c r="C255" s="1026">
        <v>0</v>
      </c>
      <c r="D255" s="1026">
        <v>0</v>
      </c>
      <c r="E255" s="1026">
        <v>0</v>
      </c>
      <c r="F255" s="1026">
        <v>0</v>
      </c>
      <c r="G255" s="1026">
        <v>0</v>
      </c>
      <c r="H255" s="1026">
        <v>0</v>
      </c>
      <c r="I255" s="819" t="e">
        <f t="shared" si="25"/>
        <v>#DIV/0!</v>
      </c>
      <c r="J255" s="819">
        <v>180</v>
      </c>
      <c r="K255" s="819" t="e">
        <f t="shared" si="26"/>
        <v>#DIV/0!</v>
      </c>
    </row>
    <row r="256" spans="1:11" s="334" customFormat="1" ht="17.100000000000001" customHeight="1" x14ac:dyDescent="0.25">
      <c r="A256" s="143">
        <v>12</v>
      </c>
      <c r="B256" s="63" t="s">
        <v>62</v>
      </c>
      <c r="C256" s="1026">
        <v>0</v>
      </c>
      <c r="D256" s="1026">
        <v>0</v>
      </c>
      <c r="E256" s="1026">
        <v>7013</v>
      </c>
      <c r="F256" s="1026">
        <f>E256*1850</f>
        <v>12974050</v>
      </c>
      <c r="G256" s="1094">
        <v>1410796</v>
      </c>
      <c r="H256" s="1026">
        <v>30</v>
      </c>
      <c r="I256" s="819">
        <f t="shared" si="25"/>
        <v>1850</v>
      </c>
      <c r="J256" s="819">
        <v>1500</v>
      </c>
      <c r="K256" s="819">
        <f t="shared" si="26"/>
        <v>201.16868672465421</v>
      </c>
    </row>
    <row r="257" spans="1:11" s="334" customFormat="1" ht="17.100000000000001" customHeight="1" x14ac:dyDescent="0.25">
      <c r="A257" s="143">
        <v>13</v>
      </c>
      <c r="B257" s="63" t="s">
        <v>44</v>
      </c>
      <c r="C257" s="1026">
        <v>5</v>
      </c>
      <c r="D257" s="1026">
        <v>100</v>
      </c>
      <c r="E257" s="1026">
        <v>254</v>
      </c>
      <c r="F257" s="1026">
        <f>E257*500</f>
        <v>127000</v>
      </c>
      <c r="G257" s="1102">
        <v>62577192</v>
      </c>
      <c r="H257" s="1026">
        <v>107</v>
      </c>
      <c r="I257" s="819">
        <v>500</v>
      </c>
      <c r="J257" s="819">
        <v>500</v>
      </c>
      <c r="K257" s="819">
        <f t="shared" si="26"/>
        <v>246366.89763779528</v>
      </c>
    </row>
    <row r="258" spans="1:11" s="334" customFormat="1" ht="17.100000000000001" customHeight="1" x14ac:dyDescent="0.25">
      <c r="A258" s="143">
        <v>14</v>
      </c>
      <c r="B258" s="196" t="s">
        <v>26</v>
      </c>
      <c r="C258" s="1026">
        <v>12</v>
      </c>
      <c r="D258" s="1026">
        <v>125.779</v>
      </c>
      <c r="E258" s="1026">
        <v>339016</v>
      </c>
      <c r="F258" s="1026">
        <f>E258*438</f>
        <v>148489008</v>
      </c>
      <c r="G258" s="1099">
        <v>17818682</v>
      </c>
      <c r="H258" s="1026"/>
      <c r="I258" s="819">
        <v>438</v>
      </c>
      <c r="J258" s="819">
        <v>450</v>
      </c>
      <c r="K258" s="819">
        <f t="shared" si="26"/>
        <v>52.560003067701821</v>
      </c>
    </row>
    <row r="259" spans="1:11" s="334" customFormat="1" ht="17.100000000000001" customHeight="1" x14ac:dyDescent="0.25">
      <c r="A259" s="143">
        <v>15</v>
      </c>
      <c r="B259" s="332" t="s">
        <v>164</v>
      </c>
      <c r="C259" s="1026">
        <v>20</v>
      </c>
      <c r="D259" s="1026">
        <v>300</v>
      </c>
      <c r="E259" s="1026">
        <v>782588</v>
      </c>
      <c r="F259" s="1026">
        <f>E259*260</f>
        <v>203472880</v>
      </c>
      <c r="G259" s="1099">
        <v>40694576</v>
      </c>
      <c r="H259" s="1026"/>
      <c r="I259" s="819">
        <v>260</v>
      </c>
      <c r="J259" s="819">
        <v>250</v>
      </c>
      <c r="K259" s="819">
        <f t="shared" si="26"/>
        <v>52</v>
      </c>
    </row>
    <row r="260" spans="1:11" s="334" customFormat="1" ht="17.100000000000001" customHeight="1" x14ac:dyDescent="0.25">
      <c r="A260" s="143">
        <v>16</v>
      </c>
      <c r="B260" s="63" t="s">
        <v>68</v>
      </c>
      <c r="C260" s="1026">
        <v>2</v>
      </c>
      <c r="D260" s="1026">
        <v>20.707699999999999</v>
      </c>
      <c r="E260" s="1026">
        <v>571</v>
      </c>
      <c r="F260" s="1026">
        <f>E260*250</f>
        <v>142750</v>
      </c>
      <c r="G260" s="1099">
        <v>45680</v>
      </c>
      <c r="H260" s="1026"/>
      <c r="I260" s="819">
        <v>250</v>
      </c>
      <c r="J260" s="819">
        <v>250</v>
      </c>
      <c r="K260" s="819">
        <f t="shared" si="26"/>
        <v>80</v>
      </c>
    </row>
    <row r="261" spans="1:11" s="334" customFormat="1" ht="17.100000000000001" customHeight="1" x14ac:dyDescent="0.25">
      <c r="A261" s="143">
        <v>17</v>
      </c>
      <c r="B261" s="273" t="s">
        <v>40</v>
      </c>
      <c r="C261" s="1026">
        <v>20</v>
      </c>
      <c r="D261" s="1026">
        <v>90</v>
      </c>
      <c r="E261" s="1026">
        <v>90113</v>
      </c>
      <c r="F261" s="1026">
        <f>E261*600</f>
        <v>54067800</v>
      </c>
      <c r="G261" s="1026">
        <v>13118532</v>
      </c>
      <c r="H261" s="1026">
        <v>63</v>
      </c>
      <c r="I261" s="819">
        <f t="shared" si="25"/>
        <v>600</v>
      </c>
      <c r="J261" s="819">
        <v>650</v>
      </c>
      <c r="K261" s="819">
        <f t="shared" si="26"/>
        <v>145.57868454052135</v>
      </c>
    </row>
    <row r="262" spans="1:11" s="334" customFormat="1" ht="17.100000000000001" customHeight="1" x14ac:dyDescent="0.25">
      <c r="A262" s="143">
        <v>18</v>
      </c>
      <c r="B262" s="273" t="s">
        <v>41</v>
      </c>
      <c r="C262" s="1026">
        <v>10</v>
      </c>
      <c r="D262" s="1026">
        <v>29.3</v>
      </c>
      <c r="E262" s="1026">
        <v>128263</v>
      </c>
      <c r="F262" s="1026">
        <f>E262*450</f>
        <v>57718350</v>
      </c>
      <c r="G262" s="1026"/>
      <c r="H262" s="1026"/>
      <c r="I262" s="819">
        <f t="shared" si="25"/>
        <v>450</v>
      </c>
      <c r="J262" s="819">
        <v>500</v>
      </c>
      <c r="K262" s="819">
        <f t="shared" si="26"/>
        <v>0</v>
      </c>
    </row>
    <row r="263" spans="1:11" s="334" customFormat="1" ht="17.100000000000001" customHeight="1" x14ac:dyDescent="0.25">
      <c r="A263" s="145"/>
      <c r="B263" s="63" t="s">
        <v>75</v>
      </c>
      <c r="C263" s="1026">
        <v>0</v>
      </c>
      <c r="D263" s="1026">
        <v>0</v>
      </c>
      <c r="E263" s="1026"/>
      <c r="F263" s="1026"/>
      <c r="G263" s="1026">
        <v>7427145</v>
      </c>
      <c r="H263" s="1026"/>
      <c r="I263" s="819"/>
      <c r="J263" s="819"/>
      <c r="K263" s="819"/>
    </row>
    <row r="264" spans="1:11" s="334" customFormat="1" ht="17.100000000000001" customHeight="1" x14ac:dyDescent="0.25">
      <c r="A264" s="145"/>
      <c r="B264" s="63" t="s">
        <v>49</v>
      </c>
      <c r="C264" s="1026">
        <v>0</v>
      </c>
      <c r="D264" s="1026">
        <v>0</v>
      </c>
      <c r="E264" s="1026"/>
      <c r="F264" s="1026"/>
      <c r="G264" s="1026">
        <v>42699048</v>
      </c>
      <c r="H264" s="1026"/>
      <c r="I264" s="819"/>
      <c r="J264" s="819"/>
      <c r="K264" s="819"/>
    </row>
    <row r="265" spans="1:11" s="334" customFormat="1" ht="17.100000000000001" customHeight="1" x14ac:dyDescent="0.25">
      <c r="A265" s="1182" t="s">
        <v>50</v>
      </c>
      <c r="B265" s="1183"/>
      <c r="C265" s="337">
        <f>SUM(C245:C264)</f>
        <v>110</v>
      </c>
      <c r="D265" s="337">
        <f t="shared" ref="D265:H265" si="30">SUM(D245:D264)</f>
        <v>2208.6067000000003</v>
      </c>
      <c r="E265" s="337">
        <f t="shared" si="30"/>
        <v>2982721.9893548386</v>
      </c>
      <c r="F265" s="337">
        <f t="shared" si="30"/>
        <v>1526695171.6129031</v>
      </c>
      <c r="G265" s="337">
        <f t="shared" si="30"/>
        <v>291632743</v>
      </c>
      <c r="H265" s="337">
        <f t="shared" si="30"/>
        <v>487</v>
      </c>
      <c r="I265" s="819"/>
      <c r="J265" s="819"/>
      <c r="K265" s="819"/>
    </row>
    <row r="266" spans="1:11" s="334" customFormat="1" ht="17.100000000000001" customHeight="1" x14ac:dyDescent="0.25">
      <c r="A266" s="343"/>
      <c r="B266" s="349"/>
      <c r="C266" s="349"/>
      <c r="D266" s="350"/>
      <c r="E266" s="350"/>
      <c r="F266" s="351"/>
      <c r="G266" s="351"/>
      <c r="H266" s="347"/>
      <c r="I266" s="819"/>
      <c r="J266" s="819"/>
      <c r="K266" s="819"/>
    </row>
    <row r="267" spans="1:11" s="334" customFormat="1" ht="17.100000000000001" customHeight="1" x14ac:dyDescent="0.25">
      <c r="A267" s="343"/>
      <c r="B267" s="349"/>
      <c r="C267" s="349"/>
      <c r="D267" s="350"/>
      <c r="E267" s="350"/>
      <c r="F267" s="351"/>
      <c r="G267" s="351"/>
      <c r="H267" s="347"/>
      <c r="I267" s="819"/>
      <c r="J267" s="819"/>
      <c r="K267" s="819"/>
    </row>
    <row r="268" spans="1:11" s="387" customFormat="1" ht="17.100000000000001" customHeight="1" x14ac:dyDescent="0.25">
      <c r="A268" s="1189" t="s">
        <v>195</v>
      </c>
      <c r="B268" s="1189"/>
      <c r="C268" s="1189"/>
      <c r="D268" s="1189"/>
      <c r="E268" s="1189"/>
      <c r="F268" s="1189"/>
      <c r="G268" s="1189"/>
      <c r="H268" s="1189"/>
      <c r="I268" s="828"/>
      <c r="J268" s="819"/>
      <c r="K268" s="828"/>
    </row>
    <row r="269" spans="1:11" s="334" customFormat="1" ht="17.100000000000001" customHeight="1" x14ac:dyDescent="0.25">
      <c r="A269" s="1184" t="s">
        <v>182</v>
      </c>
      <c r="B269" s="1184" t="s">
        <v>3</v>
      </c>
      <c r="C269" s="1184" t="s">
        <v>4</v>
      </c>
      <c r="D269" s="336" t="s">
        <v>5</v>
      </c>
      <c r="E269" s="337" t="s">
        <v>6</v>
      </c>
      <c r="F269" s="338" t="s">
        <v>7</v>
      </c>
      <c r="G269" s="338" t="s">
        <v>8</v>
      </c>
      <c r="H269" s="337" t="s">
        <v>9</v>
      </c>
      <c r="I269" s="819"/>
      <c r="J269" s="819"/>
      <c r="K269" s="819"/>
    </row>
    <row r="270" spans="1:11" s="334" customFormat="1" ht="17.100000000000001" customHeight="1" x14ac:dyDescent="0.25">
      <c r="A270" s="1185"/>
      <c r="B270" s="1185"/>
      <c r="C270" s="1185"/>
      <c r="D270" s="302" t="s">
        <v>380</v>
      </c>
      <c r="E270" s="339" t="s">
        <v>79</v>
      </c>
      <c r="F270" s="340" t="s">
        <v>632</v>
      </c>
      <c r="G270" s="340" t="s">
        <v>671</v>
      </c>
      <c r="H270" s="303" t="s">
        <v>13</v>
      </c>
      <c r="I270" s="819"/>
      <c r="J270" s="819"/>
      <c r="K270" s="819"/>
    </row>
    <row r="271" spans="1:11" s="334" customFormat="1" ht="17.100000000000001" customHeight="1" x14ac:dyDescent="0.25">
      <c r="A271" s="143">
        <v>1</v>
      </c>
      <c r="B271" s="63" t="s">
        <v>196</v>
      </c>
      <c r="C271" s="942">
        <v>107</v>
      </c>
      <c r="D271" s="942">
        <v>231.85</v>
      </c>
      <c r="E271" s="1030">
        <v>1749901</v>
      </c>
      <c r="F271" s="977">
        <v>332481190</v>
      </c>
      <c r="G271" s="970">
        <v>149435586</v>
      </c>
      <c r="H271" s="1030">
        <v>340</v>
      </c>
      <c r="I271" s="819">
        <f t="shared" ref="I271:I322" si="31">F271/E271</f>
        <v>190</v>
      </c>
      <c r="J271" s="819">
        <v>195</v>
      </c>
      <c r="K271" s="819" t="e">
        <f>#REF!/#REF!</f>
        <v>#REF!</v>
      </c>
    </row>
    <row r="272" spans="1:11" s="334" customFormat="1" ht="17.100000000000001" customHeight="1" x14ac:dyDescent="0.25">
      <c r="A272" s="143">
        <v>2</v>
      </c>
      <c r="B272" s="63" t="s">
        <v>62</v>
      </c>
      <c r="C272" s="942">
        <v>2</v>
      </c>
      <c r="D272" s="942">
        <v>5.2957999999999998</v>
      </c>
      <c r="E272" s="1030">
        <v>267</v>
      </c>
      <c r="F272" s="942">
        <v>493950</v>
      </c>
      <c r="G272" s="1030">
        <v>568710</v>
      </c>
      <c r="H272" s="1030">
        <v>5</v>
      </c>
      <c r="I272" s="819">
        <f t="shared" si="31"/>
        <v>1850</v>
      </c>
      <c r="J272" s="819">
        <v>1800</v>
      </c>
      <c r="K272" s="819" t="e">
        <f>#REF!/#REF!</f>
        <v>#REF!</v>
      </c>
    </row>
    <row r="273" spans="1:11" s="334" customFormat="1" ht="17.100000000000001" customHeight="1" x14ac:dyDescent="0.25">
      <c r="A273" s="143">
        <v>3</v>
      </c>
      <c r="B273" s="63" t="s">
        <v>54</v>
      </c>
      <c r="C273" s="942">
        <v>0</v>
      </c>
      <c r="D273" s="942">
        <v>0</v>
      </c>
      <c r="E273" s="1030">
        <v>227640</v>
      </c>
      <c r="F273" s="942">
        <v>50080800</v>
      </c>
      <c r="G273" s="1030">
        <v>7284480</v>
      </c>
      <c r="H273" s="1030">
        <v>150</v>
      </c>
      <c r="I273" s="819">
        <v>200</v>
      </c>
      <c r="J273" s="819">
        <v>230</v>
      </c>
      <c r="K273" s="819" t="e">
        <f>#REF!/#REF!</f>
        <v>#REF!</v>
      </c>
    </row>
    <row r="274" spans="1:11" s="334" customFormat="1" ht="17.100000000000001" customHeight="1" x14ac:dyDescent="0.25">
      <c r="A274" s="143">
        <v>4</v>
      </c>
      <c r="B274" s="63" t="s">
        <v>626</v>
      </c>
      <c r="C274" s="942">
        <v>0</v>
      </c>
      <c r="D274" s="942">
        <v>0</v>
      </c>
      <c r="E274" s="1030">
        <v>3431006</v>
      </c>
      <c r="F274" s="1030">
        <v>85775150</v>
      </c>
      <c r="G274" s="1030">
        <v>22624619</v>
      </c>
      <c r="H274" s="1030">
        <v>150</v>
      </c>
      <c r="I274" s="819">
        <v>25</v>
      </c>
      <c r="J274" s="819">
        <v>20</v>
      </c>
      <c r="K274" s="819" t="e">
        <f>#REF!/#REF!</f>
        <v>#REF!</v>
      </c>
    </row>
    <row r="275" spans="1:11" s="334" customFormat="1" ht="17.100000000000001" customHeight="1" x14ac:dyDescent="0.25">
      <c r="A275" s="143">
        <v>5</v>
      </c>
      <c r="B275" s="63" t="s">
        <v>59</v>
      </c>
      <c r="C275" s="942">
        <v>2</v>
      </c>
      <c r="D275" s="942">
        <v>2787</v>
      </c>
      <c r="E275" s="1030">
        <v>11356</v>
      </c>
      <c r="F275" s="942">
        <v>8517000</v>
      </c>
      <c r="G275" s="1030">
        <v>8123235</v>
      </c>
      <c r="H275" s="1030">
        <v>100</v>
      </c>
      <c r="I275" s="819">
        <v>250</v>
      </c>
      <c r="J275" s="819">
        <v>245.00000077134175</v>
      </c>
      <c r="K275" s="819" t="e">
        <f>#REF!/#REF!</f>
        <v>#REF!</v>
      </c>
    </row>
    <row r="276" spans="1:11" s="334" customFormat="1" ht="17.100000000000001" customHeight="1" x14ac:dyDescent="0.25">
      <c r="A276" s="143">
        <v>6</v>
      </c>
      <c r="B276" s="63" t="s">
        <v>40</v>
      </c>
      <c r="C276" s="942">
        <v>2</v>
      </c>
      <c r="D276" s="942">
        <v>144.38999999999999</v>
      </c>
      <c r="E276" s="1030">
        <v>41674</v>
      </c>
      <c r="F276" s="942">
        <v>25004400</v>
      </c>
      <c r="G276" s="1030">
        <v>4065003</v>
      </c>
      <c r="H276" s="1030">
        <v>8</v>
      </c>
      <c r="I276" s="819">
        <f t="shared" si="31"/>
        <v>600</v>
      </c>
      <c r="J276" s="819" t="e">
        <v>#DIV/0!</v>
      </c>
      <c r="K276" s="819" t="e">
        <f>#REF!/#REF!</f>
        <v>#REF!</v>
      </c>
    </row>
    <row r="277" spans="1:11" s="334" customFormat="1" ht="17.100000000000001" customHeight="1" x14ac:dyDescent="0.25">
      <c r="A277" s="143">
        <v>7</v>
      </c>
      <c r="B277" s="63" t="s">
        <v>68</v>
      </c>
      <c r="C277" s="942">
        <v>0</v>
      </c>
      <c r="D277" s="942">
        <v>0</v>
      </c>
      <c r="E277" s="1030">
        <v>0</v>
      </c>
      <c r="F277" s="942">
        <v>0</v>
      </c>
      <c r="G277" s="1030">
        <v>0</v>
      </c>
      <c r="H277" s="1030">
        <v>0</v>
      </c>
      <c r="I277" s="819" t="e">
        <f t="shared" si="31"/>
        <v>#DIV/0!</v>
      </c>
      <c r="J277" s="819">
        <v>250</v>
      </c>
      <c r="K277" s="819" t="e">
        <f>#REF!/#REF!</f>
        <v>#REF!</v>
      </c>
    </row>
    <row r="278" spans="1:11" s="334" customFormat="1" ht="17.100000000000001" customHeight="1" x14ac:dyDescent="0.25">
      <c r="A278" s="143">
        <v>8</v>
      </c>
      <c r="B278" s="63" t="s">
        <v>71</v>
      </c>
      <c r="C278" s="942">
        <v>0</v>
      </c>
      <c r="D278" s="942">
        <v>0</v>
      </c>
      <c r="E278" s="1030">
        <v>0</v>
      </c>
      <c r="F278" s="942">
        <v>0</v>
      </c>
      <c r="G278" s="1030">
        <v>0</v>
      </c>
      <c r="H278" s="1030">
        <v>0</v>
      </c>
      <c r="I278" s="819" t="e">
        <f t="shared" si="31"/>
        <v>#DIV/0!</v>
      </c>
      <c r="J278" s="819">
        <v>750</v>
      </c>
      <c r="K278" s="819" t="e">
        <f>#REF!/#REF!</f>
        <v>#REF!</v>
      </c>
    </row>
    <row r="279" spans="1:11" s="334" customFormat="1" ht="17.100000000000001" customHeight="1" x14ac:dyDescent="0.25">
      <c r="A279" s="143">
        <v>9</v>
      </c>
      <c r="B279" s="63" t="s">
        <v>46</v>
      </c>
      <c r="C279" s="942">
        <v>4</v>
      </c>
      <c r="D279" s="942">
        <v>72.05</v>
      </c>
      <c r="E279" s="1030">
        <v>0</v>
      </c>
      <c r="F279" s="942">
        <v>0</v>
      </c>
      <c r="G279" s="1030">
        <v>0</v>
      </c>
      <c r="H279" s="1030">
        <v>0</v>
      </c>
      <c r="I279" s="819" t="e">
        <f t="shared" si="31"/>
        <v>#DIV/0!</v>
      </c>
      <c r="J279" s="819" t="e">
        <v>#DIV/0!</v>
      </c>
      <c r="K279" s="819" t="e">
        <f>#REF!/#REF!</f>
        <v>#REF!</v>
      </c>
    </row>
    <row r="280" spans="1:11" s="334" customFormat="1" ht="17.100000000000001" customHeight="1" x14ac:dyDescent="0.25">
      <c r="A280" s="143">
        <v>10</v>
      </c>
      <c r="B280" s="274" t="s">
        <v>44</v>
      </c>
      <c r="C280" s="942">
        <v>6</v>
      </c>
      <c r="D280" s="942">
        <v>115.15</v>
      </c>
      <c r="E280" s="1030">
        <v>527111</v>
      </c>
      <c r="F280" s="942">
        <v>289911050</v>
      </c>
      <c r="G280" s="1030">
        <v>48531485</v>
      </c>
      <c r="H280" s="1030">
        <v>150</v>
      </c>
      <c r="I280" s="819">
        <f t="shared" si="31"/>
        <v>550</v>
      </c>
      <c r="J280" s="819">
        <v>540</v>
      </c>
      <c r="K280" s="819" t="e">
        <f>#REF!/#REF!</f>
        <v>#REF!</v>
      </c>
    </row>
    <row r="281" spans="1:11" s="334" customFormat="1" ht="17.100000000000001" customHeight="1" x14ac:dyDescent="0.25">
      <c r="A281" s="143">
        <v>11</v>
      </c>
      <c r="B281" s="274" t="s">
        <v>194</v>
      </c>
      <c r="C281" s="942">
        <v>0</v>
      </c>
      <c r="D281" s="942">
        <v>0</v>
      </c>
      <c r="E281" s="1030">
        <v>0</v>
      </c>
      <c r="F281" s="942">
        <v>0</v>
      </c>
      <c r="G281" s="1030">
        <v>0</v>
      </c>
      <c r="H281" s="1030">
        <v>0</v>
      </c>
      <c r="I281" s="819" t="e">
        <f t="shared" si="31"/>
        <v>#DIV/0!</v>
      </c>
      <c r="J281" s="819" t="e">
        <v>#DIV/0!</v>
      </c>
      <c r="K281" s="819"/>
    </row>
    <row r="282" spans="1:11" s="334" customFormat="1" ht="17.100000000000001" customHeight="1" x14ac:dyDescent="0.25">
      <c r="A282" s="143">
        <v>12</v>
      </c>
      <c r="B282" s="274" t="s">
        <v>53</v>
      </c>
      <c r="C282" s="942">
        <v>0</v>
      </c>
      <c r="D282" s="942">
        <v>0</v>
      </c>
      <c r="E282" s="1030">
        <v>0</v>
      </c>
      <c r="F282" s="942">
        <v>0</v>
      </c>
      <c r="G282" s="1030">
        <v>0</v>
      </c>
      <c r="H282" s="1030"/>
      <c r="I282" s="819" t="e">
        <f t="shared" si="31"/>
        <v>#DIV/0!</v>
      </c>
      <c r="J282" s="819" t="e">
        <v>#DIV/0!</v>
      </c>
      <c r="K282" s="819"/>
    </row>
    <row r="283" spans="1:11" s="334" customFormat="1" ht="17.100000000000001" customHeight="1" x14ac:dyDescent="0.25">
      <c r="A283" s="143"/>
      <c r="B283" s="63" t="s">
        <v>75</v>
      </c>
      <c r="C283" s="942">
        <v>0</v>
      </c>
      <c r="D283" s="942">
        <v>0</v>
      </c>
      <c r="E283" s="942"/>
      <c r="F283" s="942"/>
      <c r="G283" s="942">
        <v>21782133</v>
      </c>
      <c r="H283" s="942"/>
      <c r="I283" s="819"/>
      <c r="J283" s="819"/>
      <c r="K283" s="819"/>
    </row>
    <row r="284" spans="1:11" s="334" customFormat="1" ht="17.100000000000001" customHeight="1" x14ac:dyDescent="0.25">
      <c r="A284" s="143"/>
      <c r="B284" s="63" t="s">
        <v>49</v>
      </c>
      <c r="C284" s="942">
        <v>0</v>
      </c>
      <c r="D284" s="942">
        <v>0</v>
      </c>
      <c r="E284" s="942"/>
      <c r="F284" s="942"/>
      <c r="G284" s="942">
        <v>0</v>
      </c>
      <c r="H284" s="942"/>
      <c r="I284" s="819"/>
      <c r="J284" s="819"/>
      <c r="K284" s="819"/>
    </row>
    <row r="285" spans="1:11" s="334" customFormat="1" ht="17.100000000000001" customHeight="1" x14ac:dyDescent="0.25">
      <c r="A285" s="1182" t="s">
        <v>50</v>
      </c>
      <c r="B285" s="1183"/>
      <c r="C285" s="365">
        <f>SUM(C271:C284)</f>
        <v>123</v>
      </c>
      <c r="D285" s="365">
        <f t="shared" ref="D285:H285" si="32">SUM(D271:D284)</f>
        <v>3355.7358000000004</v>
      </c>
      <c r="E285" s="365">
        <f t="shared" si="32"/>
        <v>5988955</v>
      </c>
      <c r="F285" s="365">
        <f t="shared" si="32"/>
        <v>792263540</v>
      </c>
      <c r="G285" s="365">
        <f t="shared" si="32"/>
        <v>262415251</v>
      </c>
      <c r="H285" s="365">
        <f t="shared" si="32"/>
        <v>903</v>
      </c>
      <c r="I285" s="819"/>
      <c r="J285" s="819"/>
      <c r="K285" s="819"/>
    </row>
    <row r="286" spans="1:11" s="334" customFormat="1" ht="17.100000000000001" customHeight="1" x14ac:dyDescent="0.25">
      <c r="A286" s="343"/>
      <c r="B286" s="349"/>
      <c r="C286" s="349"/>
      <c r="D286" s="350"/>
      <c r="E286" s="350"/>
      <c r="F286" s="351"/>
      <c r="G286" s="351"/>
      <c r="H286" s="347"/>
      <c r="I286" s="819"/>
      <c r="J286" s="819"/>
      <c r="K286" s="819"/>
    </row>
    <row r="287" spans="1:11" s="334" customFormat="1" ht="17.100000000000001" customHeight="1" x14ac:dyDescent="0.25">
      <c r="A287" s="1188" t="s">
        <v>134</v>
      </c>
      <c r="B287" s="1188"/>
      <c r="C287" s="1188"/>
      <c r="D287" s="1188"/>
      <c r="E287" s="1188"/>
      <c r="F287" s="1188"/>
      <c r="G287" s="1188"/>
      <c r="H287" s="1188"/>
      <c r="I287" s="819"/>
      <c r="J287" s="819"/>
      <c r="K287" s="819"/>
    </row>
    <row r="288" spans="1:11" s="334" customFormat="1" ht="17.100000000000001" customHeight="1" x14ac:dyDescent="0.25">
      <c r="A288" s="1184" t="s">
        <v>182</v>
      </c>
      <c r="B288" s="1184" t="s">
        <v>3</v>
      </c>
      <c r="C288" s="1184" t="s">
        <v>4</v>
      </c>
      <c r="D288" s="336" t="s">
        <v>5</v>
      </c>
      <c r="E288" s="337" t="s">
        <v>6</v>
      </c>
      <c r="F288" s="338" t="s">
        <v>7</v>
      </c>
      <c r="G288" s="338" t="s">
        <v>8</v>
      </c>
      <c r="H288" s="337" t="s">
        <v>9</v>
      </c>
      <c r="I288" s="819"/>
      <c r="J288" s="819"/>
      <c r="K288" s="819"/>
    </row>
    <row r="289" spans="1:11" s="334" customFormat="1" ht="17.100000000000001" customHeight="1" x14ac:dyDescent="0.25">
      <c r="A289" s="1185"/>
      <c r="B289" s="1185"/>
      <c r="C289" s="1185"/>
      <c r="D289" s="302" t="s">
        <v>380</v>
      </c>
      <c r="E289" s="339" t="s">
        <v>79</v>
      </c>
      <c r="F289" s="340" t="s">
        <v>632</v>
      </c>
      <c r="G289" s="340" t="s">
        <v>631</v>
      </c>
      <c r="H289" s="303" t="s">
        <v>13</v>
      </c>
      <c r="I289" s="819"/>
      <c r="J289" s="819"/>
      <c r="K289" s="819"/>
    </row>
    <row r="290" spans="1:11" s="334" customFormat="1" ht="17.100000000000001" customHeight="1" x14ac:dyDescent="0.25">
      <c r="A290" s="145">
        <v>1</v>
      </c>
      <c r="B290" s="63" t="s">
        <v>197</v>
      </c>
      <c r="C290" s="942">
        <v>121</v>
      </c>
      <c r="D290" s="942">
        <v>233.8</v>
      </c>
      <c r="E290" s="942">
        <v>586644.89</v>
      </c>
      <c r="F290" s="942">
        <v>439983667.5</v>
      </c>
      <c r="G290" s="942">
        <f>E290*80</f>
        <v>46931591.200000003</v>
      </c>
      <c r="H290" s="942">
        <v>690</v>
      </c>
      <c r="I290" s="819">
        <f t="shared" si="31"/>
        <v>750</v>
      </c>
      <c r="J290" s="819">
        <v>750</v>
      </c>
      <c r="K290" s="819">
        <f t="shared" ref="K290:K332" si="33">G290/E290</f>
        <v>80</v>
      </c>
    </row>
    <row r="291" spans="1:11" s="334" customFormat="1" ht="17.100000000000001" customHeight="1" x14ac:dyDescent="0.25">
      <c r="A291" s="145">
        <v>2</v>
      </c>
      <c r="B291" s="63" t="s">
        <v>63</v>
      </c>
      <c r="C291" s="942">
        <v>16</v>
      </c>
      <c r="D291" s="942">
        <v>158.73310000000001</v>
      </c>
      <c r="E291" s="942">
        <v>15180.5</v>
      </c>
      <c r="F291" s="942">
        <f>E291*205</f>
        <v>3112002.5</v>
      </c>
      <c r="G291" s="942">
        <f>E291*35</f>
        <v>531317.5</v>
      </c>
      <c r="H291" s="942">
        <v>50</v>
      </c>
      <c r="I291" s="819">
        <f t="shared" si="31"/>
        <v>205</v>
      </c>
      <c r="J291" s="819">
        <v>184.99997388483911</v>
      </c>
      <c r="K291" s="819">
        <f t="shared" si="33"/>
        <v>35</v>
      </c>
    </row>
    <row r="292" spans="1:11" s="334" customFormat="1" ht="17.100000000000001" customHeight="1" x14ac:dyDescent="0.25">
      <c r="A292" s="145">
        <v>3</v>
      </c>
      <c r="B292" s="63" t="s">
        <v>54</v>
      </c>
      <c r="C292" s="942">
        <v>0</v>
      </c>
      <c r="D292" s="942">
        <v>0</v>
      </c>
      <c r="E292" s="942">
        <v>819000</v>
      </c>
      <c r="F292" s="942">
        <f>E292*I292</f>
        <v>188370000</v>
      </c>
      <c r="G292" s="942">
        <v>23247431</v>
      </c>
      <c r="H292" s="942">
        <v>625</v>
      </c>
      <c r="I292" s="819">
        <v>230</v>
      </c>
      <c r="J292" s="819">
        <v>220</v>
      </c>
      <c r="K292" s="819">
        <f t="shared" si="33"/>
        <v>28.385141636141636</v>
      </c>
    </row>
    <row r="293" spans="1:11" s="334" customFormat="1" ht="17.100000000000001" customHeight="1" x14ac:dyDescent="0.25">
      <c r="A293" s="145">
        <v>4</v>
      </c>
      <c r="B293" s="63" t="s">
        <v>59</v>
      </c>
      <c r="C293" s="942">
        <v>0</v>
      </c>
      <c r="D293" s="942">
        <v>0</v>
      </c>
      <c r="E293" s="942">
        <v>0</v>
      </c>
      <c r="F293" s="942">
        <v>0</v>
      </c>
      <c r="G293" s="942">
        <v>0</v>
      </c>
      <c r="H293" s="942">
        <v>0</v>
      </c>
      <c r="I293" s="819"/>
      <c r="J293" s="819"/>
      <c r="K293" s="819"/>
    </row>
    <row r="294" spans="1:11" s="334" customFormat="1" ht="17.100000000000001" customHeight="1" x14ac:dyDescent="0.25">
      <c r="A294" s="290"/>
      <c r="B294" s="63" t="s">
        <v>75</v>
      </c>
      <c r="C294" s="942">
        <v>0</v>
      </c>
      <c r="D294" s="942">
        <v>0</v>
      </c>
      <c r="E294" s="942">
        <v>0</v>
      </c>
      <c r="F294" s="942">
        <v>0</v>
      </c>
      <c r="G294" s="942">
        <v>26775000</v>
      </c>
      <c r="H294" s="942">
        <v>0</v>
      </c>
      <c r="I294" s="819"/>
      <c r="J294" s="819"/>
      <c r="K294" s="819"/>
    </row>
    <row r="295" spans="1:11" s="334" customFormat="1" ht="17.100000000000001" customHeight="1" x14ac:dyDescent="0.25">
      <c r="A295" s="290"/>
      <c r="B295" s="63" t="s">
        <v>49</v>
      </c>
      <c r="C295" s="942">
        <v>0</v>
      </c>
      <c r="D295" s="942">
        <v>0</v>
      </c>
      <c r="E295" s="942">
        <v>0</v>
      </c>
      <c r="F295" s="942">
        <v>0</v>
      </c>
      <c r="G295" s="942">
        <v>21343000</v>
      </c>
      <c r="H295" s="942">
        <v>0</v>
      </c>
      <c r="I295" s="819"/>
      <c r="J295" s="819"/>
      <c r="K295" s="819"/>
    </row>
    <row r="296" spans="1:11" s="334" customFormat="1" ht="17.100000000000001" customHeight="1" x14ac:dyDescent="0.25">
      <c r="A296" s="1182" t="s">
        <v>50</v>
      </c>
      <c r="B296" s="1183"/>
      <c r="C296" s="358">
        <f>SUM(C290:C295)</f>
        <v>137</v>
      </c>
      <c r="D296" s="358">
        <f t="shared" ref="D296:H296" si="34">SUM(D290:D295)</f>
        <v>392.53309999999999</v>
      </c>
      <c r="E296" s="362">
        <f>SUM(E290:E295)</f>
        <v>1420825.3900000001</v>
      </c>
      <c r="F296" s="362">
        <f>SUM(F290:F295)</f>
        <v>631465670</v>
      </c>
      <c r="G296" s="362">
        <f>SUM(G290:G295)</f>
        <v>118828339.7</v>
      </c>
      <c r="H296" s="358">
        <f t="shared" si="34"/>
        <v>1365</v>
      </c>
      <c r="I296" s="819"/>
      <c r="J296" s="819"/>
      <c r="K296" s="819"/>
    </row>
    <row r="297" spans="1:11" s="334" customFormat="1" ht="17.100000000000001" customHeight="1" x14ac:dyDescent="0.25">
      <c r="A297" s="353"/>
      <c r="B297" s="354"/>
      <c r="C297" s="354"/>
      <c r="D297" s="355"/>
      <c r="E297" s="355"/>
      <c r="F297" s="356"/>
      <c r="G297" s="356"/>
      <c r="H297" s="357"/>
      <c r="I297" s="819"/>
      <c r="J297" s="819"/>
      <c r="K297" s="819"/>
    </row>
    <row r="298" spans="1:11" s="334" customFormat="1" ht="17.100000000000001" customHeight="1" x14ac:dyDescent="0.25">
      <c r="A298" s="1188" t="s">
        <v>153</v>
      </c>
      <c r="B298" s="1188"/>
      <c r="C298" s="1188"/>
      <c r="D298" s="1188"/>
      <c r="E298" s="1188"/>
      <c r="F298" s="1188"/>
      <c r="G298" s="1188"/>
      <c r="H298" s="1188"/>
      <c r="I298" s="819"/>
      <c r="J298" s="819"/>
      <c r="K298" s="819"/>
    </row>
    <row r="299" spans="1:11" s="334" customFormat="1" ht="17.100000000000001" customHeight="1" x14ac:dyDescent="0.25">
      <c r="A299" s="1184" t="s">
        <v>182</v>
      </c>
      <c r="B299" s="1184" t="s">
        <v>3</v>
      </c>
      <c r="C299" s="1184" t="s">
        <v>4</v>
      </c>
      <c r="D299" s="336" t="s">
        <v>5</v>
      </c>
      <c r="E299" s="337" t="s">
        <v>6</v>
      </c>
      <c r="F299" s="338" t="s">
        <v>7</v>
      </c>
      <c r="G299" s="338" t="s">
        <v>8</v>
      </c>
      <c r="H299" s="337" t="s">
        <v>9</v>
      </c>
      <c r="I299" s="819"/>
      <c r="J299" s="819"/>
      <c r="K299" s="819"/>
    </row>
    <row r="300" spans="1:11" s="334" customFormat="1" ht="17.100000000000001" customHeight="1" x14ac:dyDescent="0.25">
      <c r="A300" s="1185"/>
      <c r="B300" s="1185"/>
      <c r="C300" s="1185"/>
      <c r="D300" s="302" t="s">
        <v>380</v>
      </c>
      <c r="E300" s="339" t="s">
        <v>79</v>
      </c>
      <c r="F300" s="340" t="s">
        <v>632</v>
      </c>
      <c r="G300" s="340" t="s">
        <v>671</v>
      </c>
      <c r="H300" s="303" t="s">
        <v>13</v>
      </c>
      <c r="I300" s="819"/>
      <c r="J300" s="819"/>
      <c r="K300" s="819"/>
    </row>
    <row r="301" spans="1:11" s="334" customFormat="1" ht="17.100000000000001" customHeight="1" x14ac:dyDescent="0.25">
      <c r="A301" s="206">
        <v>1</v>
      </c>
      <c r="B301" s="63" t="s">
        <v>72</v>
      </c>
      <c r="C301" s="974">
        <v>74</v>
      </c>
      <c r="D301" s="975">
        <v>102.2</v>
      </c>
      <c r="E301" s="974">
        <v>121112.46</v>
      </c>
      <c r="F301" s="974">
        <v>181668690</v>
      </c>
      <c r="G301" s="974">
        <v>50372705</v>
      </c>
      <c r="H301" s="974">
        <v>405</v>
      </c>
      <c r="I301" s="819">
        <f t="shared" si="31"/>
        <v>1500</v>
      </c>
      <c r="J301" s="819">
        <v>1499.9997905020618</v>
      </c>
      <c r="K301" s="819">
        <f t="shared" si="33"/>
        <v>415.91678511030159</v>
      </c>
    </row>
    <row r="302" spans="1:11" s="334" customFormat="1" ht="17.100000000000001" customHeight="1" x14ac:dyDescent="0.25">
      <c r="A302" s="143">
        <f>+A301+1</f>
        <v>2</v>
      </c>
      <c r="B302" s="63" t="s">
        <v>63</v>
      </c>
      <c r="C302" s="942">
        <v>30</v>
      </c>
      <c r="D302" s="943">
        <v>33.619999999999997</v>
      </c>
      <c r="E302" s="974">
        <v>623354</v>
      </c>
      <c r="F302" s="974">
        <v>121554189</v>
      </c>
      <c r="G302" s="974">
        <v>39364086</v>
      </c>
      <c r="H302" s="974">
        <v>200</v>
      </c>
      <c r="I302" s="819">
        <f t="shared" si="31"/>
        <v>195.00025507175698</v>
      </c>
      <c r="J302" s="819">
        <v>195.00002891281156</v>
      </c>
      <c r="K302" s="819">
        <f t="shared" si="33"/>
        <v>63.148846401884001</v>
      </c>
    </row>
    <row r="303" spans="1:11" s="334" customFormat="1" ht="17.100000000000001" customHeight="1" x14ac:dyDescent="0.25">
      <c r="A303" s="143">
        <f>+A302+1</f>
        <v>3</v>
      </c>
      <c r="B303" s="63" t="s">
        <v>186</v>
      </c>
      <c r="C303" s="942">
        <v>0</v>
      </c>
      <c r="D303" s="943">
        <v>0</v>
      </c>
      <c r="E303" s="974">
        <v>26287</v>
      </c>
      <c r="F303" s="974">
        <v>17087083</v>
      </c>
      <c r="G303" s="974">
        <v>1031473</v>
      </c>
      <c r="H303" s="974">
        <v>25</v>
      </c>
      <c r="I303" s="819">
        <f t="shared" si="31"/>
        <v>650.02027618214322</v>
      </c>
      <c r="J303" s="819">
        <v>700</v>
      </c>
      <c r="K303" s="819">
        <f t="shared" si="33"/>
        <v>39.238901358085748</v>
      </c>
    </row>
    <row r="304" spans="1:11" s="334" customFormat="1" ht="17.100000000000001" customHeight="1" x14ac:dyDescent="0.25">
      <c r="A304" s="143">
        <f>+A303+1</f>
        <v>4</v>
      </c>
      <c r="B304" s="276" t="s">
        <v>59</v>
      </c>
      <c r="C304" s="942">
        <v>0</v>
      </c>
      <c r="D304" s="942">
        <v>0</v>
      </c>
      <c r="E304" s="942"/>
      <c r="F304" s="942"/>
      <c r="G304" s="942"/>
      <c r="H304" s="942"/>
      <c r="I304" s="819" t="e">
        <f t="shared" si="31"/>
        <v>#DIV/0!</v>
      </c>
      <c r="J304" s="819" t="e">
        <v>#DIV/0!</v>
      </c>
      <c r="K304" s="819" t="e">
        <f t="shared" si="33"/>
        <v>#DIV/0!</v>
      </c>
    </row>
    <row r="305" spans="1:11" s="334" customFormat="1" ht="17.100000000000001" customHeight="1" x14ac:dyDescent="0.25">
      <c r="A305" s="206">
        <v>5</v>
      </c>
      <c r="B305" s="276" t="s">
        <v>54</v>
      </c>
      <c r="C305" s="942">
        <v>0</v>
      </c>
      <c r="D305" s="943">
        <v>0</v>
      </c>
      <c r="E305" s="974">
        <v>57645</v>
      </c>
      <c r="F305" s="974">
        <v>11529000</v>
      </c>
      <c r="G305" s="974">
        <v>1844640</v>
      </c>
      <c r="H305" s="974">
        <v>80</v>
      </c>
      <c r="I305" s="819">
        <v>220</v>
      </c>
      <c r="J305" s="819">
        <v>220</v>
      </c>
      <c r="K305" s="819">
        <f t="shared" si="33"/>
        <v>32</v>
      </c>
    </row>
    <row r="306" spans="1:11" s="334" customFormat="1" ht="17.100000000000001" customHeight="1" x14ac:dyDescent="0.25">
      <c r="A306" s="206">
        <v>6</v>
      </c>
      <c r="B306" s="273" t="s">
        <v>46</v>
      </c>
      <c r="C306" s="942">
        <v>23</v>
      </c>
      <c r="D306" s="943">
        <v>388.75</v>
      </c>
      <c r="E306" s="974">
        <v>198944</v>
      </c>
      <c r="F306" s="974">
        <v>288469858</v>
      </c>
      <c r="G306" s="974">
        <v>25768071</v>
      </c>
      <c r="H306" s="974">
        <v>490</v>
      </c>
      <c r="I306" s="819">
        <v>1350</v>
      </c>
      <c r="J306" s="819">
        <v>1344.9997794815474</v>
      </c>
      <c r="K306" s="819">
        <f t="shared" si="33"/>
        <v>129.52424300305614</v>
      </c>
    </row>
    <row r="307" spans="1:11" s="334" customFormat="1" ht="17.100000000000001" customHeight="1" x14ac:dyDescent="0.25">
      <c r="A307" s="206">
        <v>7</v>
      </c>
      <c r="B307" s="63" t="s">
        <v>40</v>
      </c>
      <c r="C307" s="942">
        <v>44</v>
      </c>
      <c r="D307" s="943">
        <v>54.51</v>
      </c>
      <c r="E307" s="974">
        <v>132496</v>
      </c>
      <c r="F307" s="974">
        <v>86122588</v>
      </c>
      <c r="G307" s="974">
        <v>31289864</v>
      </c>
      <c r="H307" s="974">
        <v>450</v>
      </c>
      <c r="I307" s="819">
        <f t="shared" si="31"/>
        <v>650.00141891075953</v>
      </c>
      <c r="J307" s="819">
        <v>649.99987018347406</v>
      </c>
      <c r="K307" s="819">
        <f t="shared" si="33"/>
        <v>236.15704625045285</v>
      </c>
    </row>
    <row r="308" spans="1:11" s="334" customFormat="1" ht="17.100000000000001" customHeight="1" x14ac:dyDescent="0.25">
      <c r="A308" s="143"/>
      <c r="B308" s="276" t="s">
        <v>75</v>
      </c>
      <c r="C308" s="942">
        <v>0</v>
      </c>
      <c r="D308" s="942">
        <v>0</v>
      </c>
      <c r="E308" s="942"/>
      <c r="F308" s="942"/>
      <c r="G308" s="942">
        <v>49514186</v>
      </c>
      <c r="H308" s="942"/>
      <c r="I308" s="819"/>
      <c r="J308" s="819"/>
      <c r="K308" s="819"/>
    </row>
    <row r="309" spans="1:11" s="334" customFormat="1" ht="17.100000000000001" customHeight="1" x14ac:dyDescent="0.25">
      <c r="A309" s="143"/>
      <c r="B309" s="63" t="s">
        <v>49</v>
      </c>
      <c r="C309" s="942">
        <v>0</v>
      </c>
      <c r="D309" s="942">
        <v>0</v>
      </c>
      <c r="E309" s="942"/>
      <c r="F309" s="942"/>
      <c r="G309" s="942">
        <v>24480879</v>
      </c>
      <c r="H309" s="942"/>
      <c r="I309" s="819"/>
      <c r="J309" s="819"/>
      <c r="K309" s="819"/>
    </row>
    <row r="310" spans="1:11" s="334" customFormat="1" ht="17.100000000000001" customHeight="1" x14ac:dyDescent="0.25">
      <c r="A310" s="1182" t="s">
        <v>50</v>
      </c>
      <c r="B310" s="1183"/>
      <c r="C310" s="335">
        <f>SUM(C301:C309)</f>
        <v>171</v>
      </c>
      <c r="D310" s="335">
        <f t="shared" ref="D310:H310" si="35">SUM(D301:D309)</f>
        <v>579.07999999999993</v>
      </c>
      <c r="E310" s="335">
        <f>SUM(E301:E309)</f>
        <v>1159838.46</v>
      </c>
      <c r="F310" s="335">
        <f>SUM(F301:F309)</f>
        <v>706431408</v>
      </c>
      <c r="G310" s="335">
        <f>SUM(G301:G309)</f>
        <v>223665904</v>
      </c>
      <c r="H310" s="335">
        <f t="shared" si="35"/>
        <v>1650</v>
      </c>
      <c r="I310" s="819"/>
      <c r="J310" s="819"/>
      <c r="K310" s="819"/>
    </row>
    <row r="311" spans="1:11" s="334" customFormat="1" ht="17.100000000000001" customHeight="1" x14ac:dyDescent="0.25">
      <c r="A311" s="343"/>
      <c r="B311" s="344"/>
      <c r="C311" s="344"/>
      <c r="D311" s="345"/>
      <c r="E311" s="345"/>
      <c r="F311" s="346"/>
      <c r="G311" s="346"/>
      <c r="H311" s="347"/>
      <c r="I311" s="819"/>
      <c r="J311" s="819"/>
      <c r="K311" s="819"/>
    </row>
    <row r="312" spans="1:11" s="387" customFormat="1" ht="17.100000000000001" customHeight="1" x14ac:dyDescent="0.25">
      <c r="A312" s="1189" t="s">
        <v>105</v>
      </c>
      <c r="B312" s="1189"/>
      <c r="C312" s="1189"/>
      <c r="D312" s="1189"/>
      <c r="E312" s="1189"/>
      <c r="F312" s="1189"/>
      <c r="G312" s="1189"/>
      <c r="H312" s="1189"/>
      <c r="I312" s="828"/>
      <c r="J312" s="819"/>
      <c r="K312" s="828"/>
    </row>
    <row r="313" spans="1:11" s="334" customFormat="1" ht="17.100000000000001" customHeight="1" x14ac:dyDescent="0.25">
      <c r="A313" s="1184" t="s">
        <v>182</v>
      </c>
      <c r="B313" s="1184" t="s">
        <v>3</v>
      </c>
      <c r="C313" s="1184" t="s">
        <v>4</v>
      </c>
      <c r="D313" s="336" t="s">
        <v>5</v>
      </c>
      <c r="E313" s="337" t="s">
        <v>6</v>
      </c>
      <c r="F313" s="338" t="s">
        <v>7</v>
      </c>
      <c r="G313" s="338" t="s">
        <v>8</v>
      </c>
      <c r="H313" s="337" t="s">
        <v>9</v>
      </c>
      <c r="I313" s="819"/>
      <c r="J313" s="819"/>
      <c r="K313" s="819"/>
    </row>
    <row r="314" spans="1:11" s="334" customFormat="1" ht="17.100000000000001" customHeight="1" x14ac:dyDescent="0.25">
      <c r="A314" s="1185"/>
      <c r="B314" s="1185"/>
      <c r="C314" s="1185"/>
      <c r="D314" s="302" t="s">
        <v>380</v>
      </c>
      <c r="E314" s="339" t="s">
        <v>79</v>
      </c>
      <c r="F314" s="340" t="s">
        <v>632</v>
      </c>
      <c r="G314" s="340" t="s">
        <v>671</v>
      </c>
      <c r="H314" s="303" t="s">
        <v>13</v>
      </c>
      <c r="I314" s="819"/>
      <c r="J314" s="819"/>
      <c r="K314" s="819"/>
    </row>
    <row r="315" spans="1:11" s="334" customFormat="1" ht="17.100000000000001" customHeight="1" x14ac:dyDescent="0.25">
      <c r="A315" s="206">
        <v>1</v>
      </c>
      <c r="B315" s="63" t="s">
        <v>60</v>
      </c>
      <c r="C315" s="970">
        <v>42</v>
      </c>
      <c r="D315" s="994">
        <v>5028.84</v>
      </c>
      <c r="E315" s="994">
        <v>1882740</v>
      </c>
      <c r="F315" s="994">
        <v>753096148</v>
      </c>
      <c r="G315" s="994">
        <v>368123874</v>
      </c>
      <c r="H315" s="994">
        <v>785</v>
      </c>
      <c r="I315" s="819">
        <f t="shared" si="31"/>
        <v>400.00007860883608</v>
      </c>
      <c r="J315" s="819">
        <v>375</v>
      </c>
      <c r="K315" s="819" t="e">
        <f>#REF!/#REF!</f>
        <v>#REF!</v>
      </c>
    </row>
    <row r="316" spans="1:11" s="334" customFormat="1" ht="17.100000000000001" customHeight="1" x14ac:dyDescent="0.25">
      <c r="A316" s="143">
        <v>2</v>
      </c>
      <c r="B316" s="203" t="s">
        <v>63</v>
      </c>
      <c r="C316" s="994">
        <v>125</v>
      </c>
      <c r="D316" s="994">
        <v>125.49</v>
      </c>
      <c r="E316" s="994">
        <v>1050140</v>
      </c>
      <c r="F316" s="994">
        <v>204777300</v>
      </c>
      <c r="G316" s="994">
        <v>36025339</v>
      </c>
      <c r="H316" s="994">
        <v>640</v>
      </c>
      <c r="I316" s="819">
        <f t="shared" si="31"/>
        <v>195</v>
      </c>
      <c r="J316" s="819">
        <v>180</v>
      </c>
      <c r="K316" s="819" t="e">
        <f>#REF!/#REF!</f>
        <v>#REF!</v>
      </c>
    </row>
    <row r="317" spans="1:11" s="334" customFormat="1" ht="17.100000000000001" customHeight="1" x14ac:dyDescent="0.25">
      <c r="A317" s="206">
        <v>3</v>
      </c>
      <c r="B317" s="743" t="s">
        <v>629</v>
      </c>
      <c r="C317" s="994">
        <v>2</v>
      </c>
      <c r="D317" s="994">
        <v>2</v>
      </c>
      <c r="E317" s="994">
        <v>0</v>
      </c>
      <c r="F317" s="994">
        <v>0</v>
      </c>
      <c r="G317" s="994">
        <v>0</v>
      </c>
      <c r="H317" s="994">
        <v>0</v>
      </c>
      <c r="I317" s="819" t="e">
        <f t="shared" si="31"/>
        <v>#DIV/0!</v>
      </c>
      <c r="J317" s="819">
        <v>25</v>
      </c>
      <c r="K317" s="819" t="e">
        <f>#REF!/#REF!</f>
        <v>#REF!</v>
      </c>
    </row>
    <row r="318" spans="1:11" s="334" customFormat="1" ht="17.100000000000001" customHeight="1" x14ac:dyDescent="0.25">
      <c r="A318" s="206">
        <v>4</v>
      </c>
      <c r="B318" s="743" t="s">
        <v>399</v>
      </c>
      <c r="C318" s="994">
        <v>1</v>
      </c>
      <c r="D318" s="994">
        <v>1.8353999999999999</v>
      </c>
      <c r="E318" s="994">
        <v>6919.52</v>
      </c>
      <c r="F318" s="994">
        <v>3113784</v>
      </c>
      <c r="G318" s="994">
        <f>E318*125</f>
        <v>864940</v>
      </c>
      <c r="H318" s="994">
        <v>5</v>
      </c>
      <c r="I318" s="819">
        <f t="shared" si="31"/>
        <v>450</v>
      </c>
      <c r="J318" s="819">
        <v>375</v>
      </c>
      <c r="K318" s="819" t="e">
        <f>#REF!/#REF!</f>
        <v>#REF!</v>
      </c>
    </row>
    <row r="319" spans="1:11" s="334" customFormat="1" ht="17.100000000000001" customHeight="1" x14ac:dyDescent="0.25">
      <c r="A319" s="143">
        <v>5</v>
      </c>
      <c r="B319" s="236" t="s">
        <v>59</v>
      </c>
      <c r="C319" s="994">
        <v>1</v>
      </c>
      <c r="D319" s="994">
        <v>426</v>
      </c>
      <c r="E319" s="994">
        <v>350194</v>
      </c>
      <c r="F319" s="994">
        <v>280155552</v>
      </c>
      <c r="G319" s="994">
        <v>15758617</v>
      </c>
      <c r="H319" s="994">
        <v>240</v>
      </c>
      <c r="I319" s="819">
        <v>285</v>
      </c>
      <c r="J319" s="819">
        <v>285.00000255356474</v>
      </c>
      <c r="K319" s="819" t="e">
        <f>#REF!/#REF!</f>
        <v>#REF!</v>
      </c>
    </row>
    <row r="320" spans="1:11" s="334" customFormat="1" ht="17.100000000000001" customHeight="1" x14ac:dyDescent="0.25">
      <c r="A320" s="206">
        <v>6</v>
      </c>
      <c r="B320" s="274" t="s">
        <v>26</v>
      </c>
      <c r="C320" s="994">
        <v>144</v>
      </c>
      <c r="D320" s="994">
        <v>602.52</v>
      </c>
      <c r="E320" s="994">
        <v>869207</v>
      </c>
      <c r="F320" s="994">
        <v>391143222</v>
      </c>
      <c r="G320" s="994">
        <v>70842083</v>
      </c>
      <c r="H320" s="994">
        <v>792</v>
      </c>
      <c r="I320" s="819">
        <f t="shared" si="31"/>
        <v>450.00008283412353</v>
      </c>
      <c r="J320" s="819">
        <v>450</v>
      </c>
      <c r="K320" s="819" t="e">
        <f>#REF!/#REF!</f>
        <v>#REF!</v>
      </c>
    </row>
    <row r="321" spans="1:11" s="334" customFormat="1" ht="17.100000000000001" customHeight="1" x14ac:dyDescent="0.25">
      <c r="A321" s="361">
        <v>7</v>
      </c>
      <c r="B321" s="333" t="s">
        <v>170</v>
      </c>
      <c r="C321" s="994">
        <v>1</v>
      </c>
      <c r="D321" s="994">
        <v>4.5</v>
      </c>
      <c r="E321" s="994">
        <v>9603</v>
      </c>
      <c r="F321" s="994">
        <v>4321408</v>
      </c>
      <c r="G321" s="994">
        <f>E321*105</f>
        <v>1008315</v>
      </c>
      <c r="H321" s="994">
        <v>5</v>
      </c>
      <c r="I321" s="819">
        <f t="shared" si="31"/>
        <v>450.00603977923566</v>
      </c>
      <c r="J321" s="819">
        <v>450</v>
      </c>
      <c r="K321" s="819" t="e">
        <f>#REF!/#REF!</f>
        <v>#REF!</v>
      </c>
    </row>
    <row r="322" spans="1:11" s="334" customFormat="1" ht="17.100000000000001" customHeight="1" x14ac:dyDescent="0.25">
      <c r="A322" s="137">
        <v>8</v>
      </c>
      <c r="B322" s="166" t="s">
        <v>58</v>
      </c>
      <c r="C322" s="994">
        <v>23</v>
      </c>
      <c r="D322" s="994">
        <v>37.18</v>
      </c>
      <c r="E322" s="994">
        <v>8605</v>
      </c>
      <c r="F322" s="994">
        <v>18071144</v>
      </c>
      <c r="G322" s="994">
        <v>6165449</v>
      </c>
      <c r="H322" s="994">
        <v>45</v>
      </c>
      <c r="I322" s="819">
        <f t="shared" si="31"/>
        <v>2100.0748402091808</v>
      </c>
      <c r="J322" s="819">
        <v>2100</v>
      </c>
      <c r="K322" s="819" t="e">
        <f>#REF!/#REF!</f>
        <v>#REF!</v>
      </c>
    </row>
    <row r="323" spans="1:11" s="334" customFormat="1" ht="17.100000000000001" customHeight="1" x14ac:dyDescent="0.25">
      <c r="A323" s="206"/>
      <c r="B323" s="236" t="s">
        <v>75</v>
      </c>
      <c r="C323" s="942">
        <v>0</v>
      </c>
      <c r="D323" s="942">
        <v>0</v>
      </c>
      <c r="E323" s="942"/>
      <c r="F323" s="942"/>
      <c r="G323" s="1030">
        <v>4885733</v>
      </c>
      <c r="H323" s="942"/>
      <c r="I323" s="819"/>
      <c r="J323" s="819"/>
      <c r="K323" s="819"/>
    </row>
    <row r="324" spans="1:11" s="334" customFormat="1" ht="17.100000000000001" customHeight="1" x14ac:dyDescent="0.25">
      <c r="A324" s="143"/>
      <c r="B324" s="63" t="s">
        <v>49</v>
      </c>
      <c r="C324" s="942">
        <v>0</v>
      </c>
      <c r="D324" s="942">
        <v>0</v>
      </c>
      <c r="E324" s="942"/>
      <c r="F324" s="942"/>
      <c r="G324" s="1030">
        <v>55337668</v>
      </c>
      <c r="H324" s="942"/>
      <c r="I324" s="819"/>
      <c r="J324" s="819"/>
      <c r="K324" s="819"/>
    </row>
    <row r="325" spans="1:11" s="334" customFormat="1" ht="17.100000000000001" customHeight="1" x14ac:dyDescent="0.25">
      <c r="A325" s="1182" t="s">
        <v>50</v>
      </c>
      <c r="B325" s="1183"/>
      <c r="C325" s="358">
        <f>SUM(C315:C324)</f>
        <v>339</v>
      </c>
      <c r="D325" s="358">
        <f t="shared" ref="D325:H325" si="36">SUM(D315:D324)</f>
        <v>6228.3654000000006</v>
      </c>
      <c r="E325" s="358">
        <f t="shared" si="36"/>
        <v>4177408.52</v>
      </c>
      <c r="F325" s="358">
        <f t="shared" si="36"/>
        <v>1654678558</v>
      </c>
      <c r="G325" s="358">
        <f t="shared" si="36"/>
        <v>559012018</v>
      </c>
      <c r="H325" s="358">
        <f t="shared" si="36"/>
        <v>2512</v>
      </c>
      <c r="I325" s="819"/>
      <c r="J325" s="819"/>
      <c r="K325" s="819"/>
    </row>
    <row r="326" spans="1:11" s="334" customFormat="1" ht="17.100000000000001" customHeight="1" x14ac:dyDescent="0.25">
      <c r="A326" s="353"/>
      <c r="B326" s="354"/>
      <c r="C326" s="354"/>
      <c r="D326" s="355"/>
      <c r="E326" s="355"/>
      <c r="F326" s="356"/>
      <c r="G326" s="356"/>
      <c r="H326" s="357"/>
      <c r="I326" s="819"/>
      <c r="J326" s="819"/>
      <c r="K326" s="819"/>
    </row>
    <row r="327" spans="1:11" s="334" customFormat="1" ht="17.100000000000001" customHeight="1" x14ac:dyDescent="0.25">
      <c r="A327" s="1188" t="s">
        <v>117</v>
      </c>
      <c r="B327" s="1188"/>
      <c r="C327" s="1188"/>
      <c r="D327" s="1188"/>
      <c r="E327" s="1188"/>
      <c r="F327" s="1188"/>
      <c r="G327" s="1188"/>
      <c r="H327" s="1188"/>
      <c r="I327" s="819"/>
      <c r="J327" s="819"/>
      <c r="K327" s="819"/>
    </row>
    <row r="328" spans="1:11" s="334" customFormat="1" ht="17.100000000000001" customHeight="1" x14ac:dyDescent="0.25">
      <c r="A328" s="1184" t="s">
        <v>182</v>
      </c>
      <c r="B328" s="1184" t="s">
        <v>3</v>
      </c>
      <c r="C328" s="1184" t="s">
        <v>4</v>
      </c>
      <c r="D328" s="336" t="s">
        <v>5</v>
      </c>
      <c r="E328" s="337" t="s">
        <v>6</v>
      </c>
      <c r="F328" s="338" t="s">
        <v>7</v>
      </c>
      <c r="G328" s="338" t="s">
        <v>8</v>
      </c>
      <c r="H328" s="337" t="s">
        <v>9</v>
      </c>
      <c r="I328" s="819"/>
      <c r="J328" s="819"/>
      <c r="K328" s="819"/>
    </row>
    <row r="329" spans="1:11" s="334" customFormat="1" ht="17.100000000000001" customHeight="1" x14ac:dyDescent="0.25">
      <c r="A329" s="1185"/>
      <c r="B329" s="1185"/>
      <c r="C329" s="1185"/>
      <c r="D329" s="302" t="s">
        <v>380</v>
      </c>
      <c r="E329" s="339" t="s">
        <v>79</v>
      </c>
      <c r="F329" s="340" t="s">
        <v>632</v>
      </c>
      <c r="G329" s="340" t="s">
        <v>671</v>
      </c>
      <c r="H329" s="303" t="s">
        <v>13</v>
      </c>
      <c r="I329" s="819"/>
      <c r="J329" s="819"/>
      <c r="K329" s="819"/>
    </row>
    <row r="330" spans="1:11" s="334" customFormat="1" ht="17.100000000000001" customHeight="1" x14ac:dyDescent="0.25">
      <c r="A330" s="143">
        <v>1</v>
      </c>
      <c r="B330" s="63" t="s">
        <v>54</v>
      </c>
      <c r="C330" s="831">
        <v>0</v>
      </c>
      <c r="D330" s="831">
        <v>0</v>
      </c>
      <c r="E330" s="831">
        <v>4317960</v>
      </c>
      <c r="F330" s="831">
        <v>949951200</v>
      </c>
      <c r="G330" s="831">
        <v>144986151</v>
      </c>
      <c r="H330" s="831">
        <v>3500</v>
      </c>
      <c r="I330" s="819">
        <f t="shared" ref="I330:I388" si="37">F330/E330</f>
        <v>220</v>
      </c>
      <c r="J330" s="819">
        <v>250</v>
      </c>
      <c r="K330" s="819">
        <f t="shared" si="33"/>
        <v>33.577465052941669</v>
      </c>
    </row>
    <row r="331" spans="1:11" s="334" customFormat="1" ht="17.100000000000001" customHeight="1" x14ac:dyDescent="0.25">
      <c r="A331" s="143">
        <v>2</v>
      </c>
      <c r="B331" s="63" t="s">
        <v>70</v>
      </c>
      <c r="C331" s="831">
        <v>0</v>
      </c>
      <c r="D331" s="831">
        <v>0</v>
      </c>
      <c r="E331" s="831"/>
      <c r="F331" s="831"/>
      <c r="G331" s="831"/>
      <c r="H331" s="831"/>
      <c r="I331" s="819" t="e">
        <f t="shared" si="37"/>
        <v>#DIV/0!</v>
      </c>
      <c r="J331" s="819" t="e">
        <v>#DIV/0!</v>
      </c>
      <c r="K331" s="819" t="e">
        <f t="shared" si="33"/>
        <v>#DIV/0!</v>
      </c>
    </row>
    <row r="332" spans="1:11" s="334" customFormat="1" ht="17.100000000000001" customHeight="1" x14ac:dyDescent="0.25">
      <c r="A332" s="143">
        <v>3</v>
      </c>
      <c r="B332" s="274" t="s">
        <v>31</v>
      </c>
      <c r="C332" s="831">
        <v>80</v>
      </c>
      <c r="D332" s="986">
        <v>280.3</v>
      </c>
      <c r="E332" s="987">
        <v>784391</v>
      </c>
      <c r="F332" s="831">
        <v>541229790</v>
      </c>
      <c r="G332" s="987">
        <f>21696030+130440687</f>
        <v>152136717</v>
      </c>
      <c r="H332" s="987">
        <v>320</v>
      </c>
      <c r="I332" s="819">
        <f t="shared" si="37"/>
        <v>690</v>
      </c>
      <c r="J332" s="819">
        <v>670</v>
      </c>
      <c r="K332" s="819">
        <f t="shared" si="33"/>
        <v>193.95520473845315</v>
      </c>
    </row>
    <row r="333" spans="1:11" s="334" customFormat="1" ht="17.100000000000001" customHeight="1" x14ac:dyDescent="0.25">
      <c r="A333" s="143"/>
      <c r="B333" s="63" t="s">
        <v>75</v>
      </c>
      <c r="C333" s="831">
        <v>0</v>
      </c>
      <c r="D333" s="986">
        <v>0</v>
      </c>
      <c r="E333" s="987"/>
      <c r="F333" s="831"/>
      <c r="G333" s="987">
        <v>13643505</v>
      </c>
      <c r="H333" s="987"/>
      <c r="I333" s="819"/>
      <c r="J333" s="819"/>
      <c r="K333" s="819"/>
    </row>
    <row r="334" spans="1:11" s="334" customFormat="1" ht="17.100000000000001" customHeight="1" x14ac:dyDescent="0.25">
      <c r="A334" s="143"/>
      <c r="B334" s="63" t="s">
        <v>49</v>
      </c>
      <c r="C334" s="831">
        <v>0</v>
      </c>
      <c r="D334" s="986">
        <v>0</v>
      </c>
      <c r="E334" s="987"/>
      <c r="F334" s="831"/>
      <c r="G334" s="831">
        <f>5482476+14169221</f>
        <v>19651697</v>
      </c>
      <c r="H334" s="987"/>
      <c r="I334" s="819"/>
      <c r="J334" s="819"/>
      <c r="K334" s="819"/>
    </row>
    <row r="335" spans="1:11" s="334" customFormat="1" ht="17.100000000000001" customHeight="1" x14ac:dyDescent="0.25">
      <c r="A335" s="1182" t="s">
        <v>50</v>
      </c>
      <c r="B335" s="1183"/>
      <c r="C335" s="358">
        <f>SUM(C330:C334)</f>
        <v>80</v>
      </c>
      <c r="D335" s="358">
        <f t="shared" ref="D335:H335" si="38">SUM(D330:D334)</f>
        <v>280.3</v>
      </c>
      <c r="E335" s="358">
        <f t="shared" si="38"/>
        <v>5102351</v>
      </c>
      <c r="F335" s="358">
        <f t="shared" si="38"/>
        <v>1491180990</v>
      </c>
      <c r="G335" s="358">
        <f t="shared" si="38"/>
        <v>330418070</v>
      </c>
      <c r="H335" s="358">
        <f t="shared" si="38"/>
        <v>3820</v>
      </c>
      <c r="I335" s="819"/>
      <c r="J335" s="819"/>
      <c r="K335" s="819"/>
    </row>
    <row r="336" spans="1:11" s="334" customFormat="1" ht="17.100000000000001" customHeight="1" x14ac:dyDescent="0.25">
      <c r="C336" s="367"/>
      <c r="D336" s="367"/>
      <c r="E336" s="367"/>
      <c r="F336" s="367"/>
      <c r="G336" s="367"/>
      <c r="H336" s="367"/>
      <c r="I336" s="819"/>
      <c r="J336" s="819"/>
      <c r="K336" s="819"/>
    </row>
    <row r="337" spans="1:11" s="387" customFormat="1" ht="17.100000000000001" customHeight="1" x14ac:dyDescent="0.25">
      <c r="A337" s="1189" t="s">
        <v>154</v>
      </c>
      <c r="B337" s="1189"/>
      <c r="C337" s="1189"/>
      <c r="D337" s="1189"/>
      <c r="E337" s="1189"/>
      <c r="F337" s="1189"/>
      <c r="G337" s="1189"/>
      <c r="H337" s="1189"/>
      <c r="I337" s="828"/>
      <c r="J337" s="819"/>
      <c r="K337" s="828"/>
    </row>
    <row r="338" spans="1:11" s="334" customFormat="1" ht="17.100000000000001" customHeight="1" x14ac:dyDescent="0.25">
      <c r="A338" s="1184" t="s">
        <v>182</v>
      </c>
      <c r="B338" s="1184" t="s">
        <v>3</v>
      </c>
      <c r="C338" s="1184" t="s">
        <v>4</v>
      </c>
      <c r="D338" s="336" t="s">
        <v>5</v>
      </c>
      <c r="E338" s="337" t="s">
        <v>6</v>
      </c>
      <c r="F338" s="338" t="s">
        <v>7</v>
      </c>
      <c r="G338" s="338" t="s">
        <v>8</v>
      </c>
      <c r="H338" s="337" t="s">
        <v>9</v>
      </c>
      <c r="I338" s="819"/>
      <c r="J338" s="819"/>
      <c r="K338" s="819"/>
    </row>
    <row r="339" spans="1:11" s="334" customFormat="1" ht="17.100000000000001" customHeight="1" x14ac:dyDescent="0.25">
      <c r="A339" s="1185"/>
      <c r="B339" s="1185"/>
      <c r="C339" s="1185"/>
      <c r="D339" s="302" t="s">
        <v>380</v>
      </c>
      <c r="E339" s="339" t="s">
        <v>79</v>
      </c>
      <c r="F339" s="340" t="s">
        <v>632</v>
      </c>
      <c r="G339" s="340" t="s">
        <v>671</v>
      </c>
      <c r="H339" s="303" t="s">
        <v>13</v>
      </c>
      <c r="I339" s="819"/>
      <c r="J339" s="819"/>
      <c r="K339" s="819"/>
    </row>
    <row r="340" spans="1:11" s="334" customFormat="1" ht="17.100000000000001" customHeight="1" x14ac:dyDescent="0.25">
      <c r="A340" s="143">
        <v>1</v>
      </c>
      <c r="B340" s="63" t="s">
        <v>58</v>
      </c>
      <c r="C340" s="1001">
        <v>87</v>
      </c>
      <c r="D340" s="1002">
        <v>236.17</v>
      </c>
      <c r="E340" s="608">
        <v>106415.14</v>
      </c>
      <c r="F340" s="1001">
        <f>E340*2150</f>
        <v>228792551</v>
      </c>
      <c r="G340" s="1095">
        <v>46690590</v>
      </c>
      <c r="H340" s="1095">
        <v>490</v>
      </c>
      <c r="I340" s="1049">
        <f t="shared" si="37"/>
        <v>2150</v>
      </c>
      <c r="J340" s="1049">
        <v>3800</v>
      </c>
      <c r="K340" s="819">
        <f t="shared" ref="K340:K398" si="39">G340/E340</f>
        <v>438.75890216373347</v>
      </c>
    </row>
    <row r="341" spans="1:11" s="334" customFormat="1" ht="17.100000000000001" customHeight="1" x14ac:dyDescent="0.25">
      <c r="A341" s="143">
        <v>2</v>
      </c>
      <c r="B341" s="63" t="s">
        <v>62</v>
      </c>
      <c r="C341" s="1098">
        <v>41</v>
      </c>
      <c r="D341" s="1098">
        <v>142.6</v>
      </c>
      <c r="E341" s="608">
        <v>38757.22</v>
      </c>
      <c r="F341" s="1001">
        <f>E341*1850</f>
        <v>71700857</v>
      </c>
      <c r="G341" s="1095">
        <v>25661113</v>
      </c>
      <c r="H341" s="1095">
        <v>210</v>
      </c>
      <c r="I341" s="1049">
        <f t="shared" si="37"/>
        <v>1850</v>
      </c>
      <c r="J341" s="1049">
        <v>919.99997260845259</v>
      </c>
      <c r="K341" s="819">
        <f t="shared" si="39"/>
        <v>662.09890699074901</v>
      </c>
    </row>
    <row r="342" spans="1:11" s="334" customFormat="1" ht="17.100000000000001" customHeight="1" x14ac:dyDescent="0.25">
      <c r="A342" s="143">
        <v>3</v>
      </c>
      <c r="B342" s="63" t="s">
        <v>144</v>
      </c>
      <c r="C342" s="1001">
        <v>209</v>
      </c>
      <c r="D342" s="1002">
        <v>209.5</v>
      </c>
      <c r="E342" s="608">
        <v>106277.75999999999</v>
      </c>
      <c r="F342" s="1001">
        <f>E342*1150</f>
        <v>122219424</v>
      </c>
      <c r="G342" s="1095">
        <v>33149560</v>
      </c>
      <c r="H342" s="1095">
        <v>2450</v>
      </c>
      <c r="I342" s="1049">
        <f t="shared" si="37"/>
        <v>1150</v>
      </c>
      <c r="J342" s="1049">
        <v>650</v>
      </c>
      <c r="K342" s="819">
        <f t="shared" si="39"/>
        <v>311.91436477396587</v>
      </c>
    </row>
    <row r="343" spans="1:11" s="334" customFormat="1" ht="17.100000000000001" customHeight="1" x14ac:dyDescent="0.25">
      <c r="A343" s="143">
        <v>4</v>
      </c>
      <c r="B343" s="274" t="s">
        <v>31</v>
      </c>
      <c r="C343" s="1001">
        <v>3</v>
      </c>
      <c r="D343" s="1002">
        <v>917.9</v>
      </c>
      <c r="E343" s="608">
        <v>569846.78999999992</v>
      </c>
      <c r="F343" s="1001">
        <f>E343*690</f>
        <v>393194285.09999996</v>
      </c>
      <c r="G343" s="1095">
        <v>155366452</v>
      </c>
      <c r="H343" s="1095">
        <v>45</v>
      </c>
      <c r="I343" s="819">
        <f t="shared" si="37"/>
        <v>690</v>
      </c>
      <c r="J343" s="819">
        <v>760</v>
      </c>
      <c r="K343" s="819">
        <f t="shared" si="39"/>
        <v>272.64600718379063</v>
      </c>
    </row>
    <row r="344" spans="1:11" s="334" customFormat="1" ht="17.100000000000001" customHeight="1" x14ac:dyDescent="0.25">
      <c r="A344" s="143">
        <v>5</v>
      </c>
      <c r="B344" s="274" t="s">
        <v>27</v>
      </c>
      <c r="C344" s="1003">
        <v>1</v>
      </c>
      <c r="D344" s="1002">
        <v>32.369999999999997</v>
      </c>
      <c r="E344" s="608">
        <v>16337.37</v>
      </c>
      <c r="F344" s="1001">
        <f>E344*1900</f>
        <v>31041003</v>
      </c>
      <c r="G344" s="1095">
        <v>2813632</v>
      </c>
      <c r="H344" s="1095">
        <v>4</v>
      </c>
      <c r="I344" s="1049">
        <f t="shared" si="37"/>
        <v>1900</v>
      </c>
      <c r="J344" s="1050">
        <v>12815.473061760842</v>
      </c>
      <c r="K344" s="819">
        <f t="shared" si="39"/>
        <v>172.22062057724099</v>
      </c>
    </row>
    <row r="345" spans="1:11" s="334" customFormat="1" ht="17.100000000000001" customHeight="1" x14ac:dyDescent="0.25">
      <c r="A345" s="143">
        <v>6</v>
      </c>
      <c r="B345" s="63" t="s">
        <v>426</v>
      </c>
      <c r="C345" s="1001">
        <v>3</v>
      </c>
      <c r="D345" s="1002">
        <v>14.7544</v>
      </c>
      <c r="E345" s="608">
        <v>126.03</v>
      </c>
      <c r="F345" s="1001">
        <f>E345*260</f>
        <v>32767.8</v>
      </c>
      <c r="G345" s="608">
        <v>56000</v>
      </c>
      <c r="H345" s="608">
        <v>2</v>
      </c>
      <c r="I345" s="1049">
        <f t="shared" si="37"/>
        <v>260</v>
      </c>
      <c r="J345" s="1049">
        <v>15.07045374124705</v>
      </c>
      <c r="K345" s="819">
        <f t="shared" si="39"/>
        <v>444.3386495278902</v>
      </c>
    </row>
    <row r="346" spans="1:11" s="334" customFormat="1" ht="17.100000000000001" customHeight="1" x14ac:dyDescent="0.25">
      <c r="A346" s="143">
        <v>7</v>
      </c>
      <c r="B346" s="63" t="s">
        <v>390</v>
      </c>
      <c r="C346" s="1001">
        <v>56</v>
      </c>
      <c r="D346" s="1002">
        <v>284.76</v>
      </c>
      <c r="E346" s="608">
        <v>197250.61</v>
      </c>
      <c r="F346" s="1001">
        <f>E346*540</f>
        <v>106515329.39999999</v>
      </c>
      <c r="G346" s="1095">
        <v>20588195</v>
      </c>
      <c r="H346" s="1095">
        <v>28</v>
      </c>
      <c r="I346" s="1049">
        <f t="shared" si="37"/>
        <v>540</v>
      </c>
      <c r="J346" s="1049">
        <v>200.00000000000003</v>
      </c>
      <c r="K346" s="819">
        <f t="shared" si="39"/>
        <v>104.37582423699476</v>
      </c>
    </row>
    <row r="347" spans="1:11" s="334" customFormat="1" ht="17.100000000000001" customHeight="1" x14ac:dyDescent="0.25">
      <c r="A347" s="143">
        <v>8</v>
      </c>
      <c r="B347" s="63" t="s">
        <v>63</v>
      </c>
      <c r="C347" s="1001">
        <v>43</v>
      </c>
      <c r="D347" s="1002">
        <v>47.87</v>
      </c>
      <c r="E347" s="608">
        <v>146729.75</v>
      </c>
      <c r="F347" s="1001">
        <f>E347*210</f>
        <v>30813247.5</v>
      </c>
      <c r="G347" s="608">
        <v>19498550</v>
      </c>
      <c r="H347" s="608">
        <v>255</v>
      </c>
      <c r="I347" s="819">
        <f t="shared" si="37"/>
        <v>210</v>
      </c>
      <c r="J347" s="819">
        <v>150</v>
      </c>
      <c r="K347" s="819">
        <f t="shared" si="39"/>
        <v>132.88750236404002</v>
      </c>
    </row>
    <row r="348" spans="1:11" s="334" customFormat="1" ht="17.100000000000001" customHeight="1" x14ac:dyDescent="0.25">
      <c r="A348" s="143">
        <v>9</v>
      </c>
      <c r="B348" s="63" t="s">
        <v>672</v>
      </c>
      <c r="C348" s="1003">
        <v>3</v>
      </c>
      <c r="D348" s="1002">
        <v>13</v>
      </c>
      <c r="E348" s="1003">
        <v>32.909999999999997</v>
      </c>
      <c r="F348" s="1001">
        <f>E348*440</f>
        <v>14480.399999999998</v>
      </c>
      <c r="G348" s="1095">
        <v>522386</v>
      </c>
      <c r="H348" s="608">
        <v>1</v>
      </c>
      <c r="I348" s="819">
        <f t="shared" si="37"/>
        <v>440</v>
      </c>
      <c r="J348" s="819">
        <v>450</v>
      </c>
      <c r="K348" s="819">
        <f t="shared" si="39"/>
        <v>15873.169249468248</v>
      </c>
    </row>
    <row r="349" spans="1:11" s="334" customFormat="1" ht="17.100000000000001" customHeight="1" x14ac:dyDescent="0.25">
      <c r="A349" s="143">
        <v>10</v>
      </c>
      <c r="B349" s="63" t="s">
        <v>59</v>
      </c>
      <c r="C349" s="1001">
        <v>2</v>
      </c>
      <c r="D349" s="1002">
        <v>72</v>
      </c>
      <c r="E349" s="608"/>
      <c r="F349" s="1001"/>
      <c r="G349" s="608"/>
      <c r="H349" s="608"/>
      <c r="I349" s="819" t="e">
        <f t="shared" si="37"/>
        <v>#DIV/0!</v>
      </c>
      <c r="J349" s="819">
        <v>300</v>
      </c>
      <c r="K349" s="819" t="e">
        <f t="shared" si="39"/>
        <v>#DIV/0!</v>
      </c>
    </row>
    <row r="350" spans="1:11" s="334" customFormat="1" ht="17.100000000000001" customHeight="1" x14ac:dyDescent="0.25">
      <c r="A350" s="143">
        <v>11</v>
      </c>
      <c r="B350" s="63" t="s">
        <v>54</v>
      </c>
      <c r="C350" s="1001">
        <v>9</v>
      </c>
      <c r="D350" s="1002">
        <v>28</v>
      </c>
      <c r="E350" s="608"/>
      <c r="F350" s="1001"/>
      <c r="G350" s="608"/>
      <c r="H350" s="608"/>
      <c r="I350" s="819" t="e">
        <f t="shared" si="37"/>
        <v>#DIV/0!</v>
      </c>
      <c r="J350" s="819">
        <v>230</v>
      </c>
      <c r="K350" s="819" t="e">
        <f t="shared" si="39"/>
        <v>#DIV/0!</v>
      </c>
    </row>
    <row r="351" spans="1:11" s="334" customFormat="1" ht="17.100000000000001" customHeight="1" x14ac:dyDescent="0.25">
      <c r="A351" s="143">
        <v>12</v>
      </c>
      <c r="B351" s="63" t="s">
        <v>65</v>
      </c>
      <c r="C351" s="1001">
        <v>2</v>
      </c>
      <c r="D351" s="1002">
        <v>2</v>
      </c>
      <c r="E351" s="608">
        <v>89213</v>
      </c>
      <c r="F351" s="1001">
        <v>2497969</v>
      </c>
      <c r="G351" s="1095">
        <v>1998375</v>
      </c>
      <c r="H351" s="608">
        <v>50</v>
      </c>
      <c r="I351" s="819">
        <f t="shared" si="37"/>
        <v>28.000056045643571</v>
      </c>
      <c r="J351" s="819">
        <v>20</v>
      </c>
      <c r="K351" s="819">
        <f>F351/E351</f>
        <v>28.000056045643571</v>
      </c>
    </row>
    <row r="352" spans="1:11" s="334" customFormat="1" ht="17.100000000000001" customHeight="1" x14ac:dyDescent="0.25">
      <c r="A352" s="143">
        <v>13</v>
      </c>
      <c r="B352" s="63" t="s">
        <v>187</v>
      </c>
      <c r="C352" s="1001">
        <v>17</v>
      </c>
      <c r="D352" s="1002">
        <v>21</v>
      </c>
      <c r="E352" s="608">
        <v>263521.11</v>
      </c>
      <c r="F352" s="942">
        <v>55339410</v>
      </c>
      <c r="G352" s="608">
        <v>8432672</v>
      </c>
      <c r="H352" s="608">
        <v>250</v>
      </c>
      <c r="I352" s="819">
        <f t="shared" si="37"/>
        <v>209.99991234098854</v>
      </c>
      <c r="J352" s="819">
        <v>195</v>
      </c>
      <c r="K352" s="819">
        <f t="shared" si="39"/>
        <v>31.999986642436351</v>
      </c>
    </row>
    <row r="353" spans="1:11" s="334" customFormat="1" ht="17.100000000000001" customHeight="1" x14ac:dyDescent="0.25">
      <c r="A353" s="143">
        <v>14</v>
      </c>
      <c r="B353" s="821" t="s">
        <v>625</v>
      </c>
      <c r="C353" s="1001">
        <v>5</v>
      </c>
      <c r="D353" s="1001">
        <v>5</v>
      </c>
      <c r="E353" s="1001">
        <v>2260</v>
      </c>
      <c r="F353" s="1001">
        <v>1694669</v>
      </c>
      <c r="G353" s="1001">
        <v>321987</v>
      </c>
      <c r="H353" s="1001"/>
      <c r="I353" s="819">
        <f t="shared" si="37"/>
        <v>749.85353982300887</v>
      </c>
      <c r="J353" s="819"/>
      <c r="K353" s="819">
        <f t="shared" si="39"/>
        <v>142.4721238938053</v>
      </c>
    </row>
    <row r="354" spans="1:11" s="334" customFormat="1" ht="17.100000000000001" customHeight="1" x14ac:dyDescent="0.25">
      <c r="A354" s="368"/>
      <c r="B354" s="63" t="s">
        <v>75</v>
      </c>
      <c r="C354" s="1001">
        <v>0</v>
      </c>
      <c r="D354" s="1001">
        <v>0</v>
      </c>
      <c r="E354" s="1001"/>
      <c r="F354" s="1001"/>
      <c r="G354" s="1096">
        <v>58882013</v>
      </c>
      <c r="H354" s="1001"/>
      <c r="I354" s="819"/>
      <c r="J354" s="819"/>
      <c r="K354" s="819"/>
    </row>
    <row r="355" spans="1:11" s="334" customFormat="1" ht="20.25" customHeight="1" x14ac:dyDescent="0.25">
      <c r="A355" s="368"/>
      <c r="B355" s="63" t="s">
        <v>49</v>
      </c>
      <c r="C355" s="942">
        <v>0</v>
      </c>
      <c r="D355" s="1001">
        <v>0</v>
      </c>
      <c r="E355" s="1001"/>
      <c r="F355" s="1001"/>
      <c r="G355" s="1097">
        <v>280977437</v>
      </c>
      <c r="H355" s="1001"/>
      <c r="I355" s="819"/>
      <c r="J355" s="819"/>
      <c r="K355" s="819"/>
    </row>
    <row r="356" spans="1:11" s="334" customFormat="1" ht="17.100000000000001" customHeight="1" x14ac:dyDescent="0.25">
      <c r="A356" s="1182" t="s">
        <v>50</v>
      </c>
      <c r="B356" s="1183"/>
      <c r="C356" s="358">
        <f>SUM(C340:C355)</f>
        <v>481</v>
      </c>
      <c r="D356" s="358">
        <f t="shared" ref="D356:H356" si="40">SUM(D340:D355)</f>
        <v>2026.9243999999999</v>
      </c>
      <c r="E356" s="358">
        <f t="shared" si="40"/>
        <v>1536767.69</v>
      </c>
      <c r="F356" s="358">
        <f t="shared" si="40"/>
        <v>1043855993.1999998</v>
      </c>
      <c r="G356" s="365">
        <f>SUM(G340:G355)</f>
        <v>654958962</v>
      </c>
      <c r="H356" s="358">
        <f t="shared" si="40"/>
        <v>3785</v>
      </c>
      <c r="I356" s="819"/>
      <c r="J356" s="819"/>
      <c r="K356" s="819"/>
    </row>
    <row r="357" spans="1:11" s="334" customFormat="1" ht="17.100000000000001" customHeight="1" x14ac:dyDescent="0.25">
      <c r="A357" s="353"/>
      <c r="B357" s="354"/>
      <c r="C357" s="354"/>
      <c r="D357" s="355"/>
      <c r="E357" s="355"/>
      <c r="F357" s="356"/>
      <c r="G357" s="351"/>
      <c r="H357" s="357"/>
      <c r="I357" s="819"/>
      <c r="J357" s="819"/>
      <c r="K357" s="819"/>
    </row>
    <row r="358" spans="1:11" s="387" customFormat="1" ht="17.100000000000001" customHeight="1" x14ac:dyDescent="0.25">
      <c r="A358" s="1189" t="s">
        <v>87</v>
      </c>
      <c r="B358" s="1189"/>
      <c r="C358" s="1189"/>
      <c r="D358" s="1189"/>
      <c r="E358" s="1189"/>
      <c r="F358" s="1189"/>
      <c r="G358" s="1189"/>
      <c r="H358" s="1189"/>
      <c r="I358" s="828"/>
      <c r="J358" s="819"/>
      <c r="K358" s="828"/>
    </row>
    <row r="359" spans="1:11" s="334" customFormat="1" ht="17.100000000000001" customHeight="1" x14ac:dyDescent="0.25">
      <c r="A359" s="1184" t="s">
        <v>182</v>
      </c>
      <c r="B359" s="1184" t="s">
        <v>3</v>
      </c>
      <c r="C359" s="1184" t="s">
        <v>4</v>
      </c>
      <c r="D359" s="336" t="s">
        <v>5</v>
      </c>
      <c r="E359" s="337" t="s">
        <v>6</v>
      </c>
      <c r="F359" s="338" t="s">
        <v>7</v>
      </c>
      <c r="G359" s="338" t="s">
        <v>8</v>
      </c>
      <c r="H359" s="337" t="s">
        <v>9</v>
      </c>
      <c r="I359" s="819"/>
      <c r="J359" s="819"/>
      <c r="K359" s="819"/>
    </row>
    <row r="360" spans="1:11" s="334" customFormat="1" ht="17.100000000000001" customHeight="1" x14ac:dyDescent="0.25">
      <c r="A360" s="1185"/>
      <c r="B360" s="1185"/>
      <c r="C360" s="1185"/>
      <c r="D360" s="302" t="s">
        <v>380</v>
      </c>
      <c r="E360" s="339" t="s">
        <v>79</v>
      </c>
      <c r="F360" s="340" t="s">
        <v>632</v>
      </c>
      <c r="G360" s="340" t="s">
        <v>671</v>
      </c>
      <c r="H360" s="303" t="s">
        <v>13</v>
      </c>
      <c r="I360" s="819"/>
      <c r="J360" s="819"/>
      <c r="K360" s="819"/>
    </row>
    <row r="361" spans="1:11" s="334" customFormat="1" ht="17.100000000000001" customHeight="1" x14ac:dyDescent="0.25">
      <c r="A361" s="143">
        <v>1</v>
      </c>
      <c r="B361" s="63" t="s">
        <v>63</v>
      </c>
      <c r="C361" s="942">
        <v>738</v>
      </c>
      <c r="D361" s="942">
        <v>750.32</v>
      </c>
      <c r="E361" s="1030">
        <v>15662317</v>
      </c>
      <c r="F361" s="977">
        <v>3445709819</v>
      </c>
      <c r="G361" s="1030">
        <v>639094830</v>
      </c>
      <c r="H361" s="1001">
        <v>11000</v>
      </c>
      <c r="I361" s="819">
        <f t="shared" si="37"/>
        <v>220.00000504395359</v>
      </c>
      <c r="J361" s="819">
        <v>190</v>
      </c>
      <c r="K361" s="819">
        <f t="shared" ref="K361:K372" si="41">G361/E361</f>
        <v>40.80461594539301</v>
      </c>
    </row>
    <row r="362" spans="1:11" s="334" customFormat="1" ht="17.100000000000001" customHeight="1" x14ac:dyDescent="0.25">
      <c r="A362" s="143">
        <v>2</v>
      </c>
      <c r="B362" s="63" t="s">
        <v>62</v>
      </c>
      <c r="C362" s="942">
        <v>19</v>
      </c>
      <c r="D362" s="943">
        <v>38.96</v>
      </c>
      <c r="E362" s="1030">
        <v>33192</v>
      </c>
      <c r="F362" s="942">
        <f>E362*1800</f>
        <v>59745600</v>
      </c>
      <c r="G362" s="1030">
        <v>8571168</v>
      </c>
      <c r="H362" s="1001">
        <v>135</v>
      </c>
      <c r="I362" s="819">
        <f t="shared" si="37"/>
        <v>1800</v>
      </c>
      <c r="J362" s="819">
        <v>1799.9999999999998</v>
      </c>
      <c r="K362" s="819">
        <f t="shared" si="41"/>
        <v>258.22993492407807</v>
      </c>
    </row>
    <row r="363" spans="1:11" s="334" customFormat="1" ht="17.100000000000001" customHeight="1" x14ac:dyDescent="0.25">
      <c r="A363" s="143">
        <v>3</v>
      </c>
      <c r="B363" s="63" t="s">
        <v>60</v>
      </c>
      <c r="C363" s="942">
        <v>4</v>
      </c>
      <c r="D363" s="976">
        <v>11</v>
      </c>
      <c r="E363" s="1030">
        <v>0</v>
      </c>
      <c r="F363" s="942">
        <v>0</v>
      </c>
      <c r="G363" s="1030">
        <v>0</v>
      </c>
      <c r="H363" s="1001">
        <v>0</v>
      </c>
      <c r="I363" s="819" t="e">
        <f t="shared" si="37"/>
        <v>#DIV/0!</v>
      </c>
      <c r="J363" s="819" t="e">
        <v>#DIV/0!</v>
      </c>
      <c r="K363" s="819" t="e">
        <f t="shared" si="41"/>
        <v>#DIV/0!</v>
      </c>
    </row>
    <row r="364" spans="1:11" s="334" customFormat="1" ht="17.100000000000001" customHeight="1" x14ac:dyDescent="0.25">
      <c r="A364" s="143">
        <v>4</v>
      </c>
      <c r="B364" s="63" t="s">
        <v>58</v>
      </c>
      <c r="C364" s="942">
        <v>31</v>
      </c>
      <c r="D364" s="943">
        <v>53.56</v>
      </c>
      <c r="E364" s="1030">
        <v>205478</v>
      </c>
      <c r="F364" s="942">
        <f>E364*2100</f>
        <v>431503800</v>
      </c>
      <c r="G364" s="1030">
        <v>53077591</v>
      </c>
      <c r="H364" s="1001">
        <v>85</v>
      </c>
      <c r="I364" s="819">
        <f t="shared" si="37"/>
        <v>2100</v>
      </c>
      <c r="J364" s="819">
        <v>1999.9999999999998</v>
      </c>
      <c r="K364" s="819">
        <f t="shared" si="41"/>
        <v>258.31276827689584</v>
      </c>
    </row>
    <row r="365" spans="1:11" s="334" customFormat="1" ht="17.100000000000001" customHeight="1" x14ac:dyDescent="0.25">
      <c r="A365" s="143">
        <v>5</v>
      </c>
      <c r="B365" s="63" t="s">
        <v>54</v>
      </c>
      <c r="C365" s="942">
        <v>0</v>
      </c>
      <c r="D365" s="942">
        <v>0</v>
      </c>
      <c r="E365" s="1030">
        <v>188766</v>
      </c>
      <c r="F365" s="942">
        <v>41528527</v>
      </c>
      <c r="G365" s="1030">
        <v>37079042</v>
      </c>
      <c r="H365" s="1001">
        <v>4800</v>
      </c>
      <c r="I365" s="819">
        <f t="shared" si="37"/>
        <v>220.00003708294926</v>
      </c>
      <c r="J365" s="819">
        <v>200</v>
      </c>
      <c r="K365" s="819">
        <f t="shared" si="41"/>
        <v>196.42860472754629</v>
      </c>
    </row>
    <row r="366" spans="1:11" s="334" customFormat="1" ht="17.100000000000001" customHeight="1" x14ac:dyDescent="0.25">
      <c r="A366" s="143">
        <v>6</v>
      </c>
      <c r="B366" s="203" t="s">
        <v>59</v>
      </c>
      <c r="C366" s="942">
        <v>1</v>
      </c>
      <c r="D366" s="942">
        <v>954.15</v>
      </c>
      <c r="E366" s="334">
        <v>81837</v>
      </c>
      <c r="F366" s="1030">
        <v>65470032</v>
      </c>
      <c r="G366" s="1030">
        <v>7639716</v>
      </c>
      <c r="H366" s="1001">
        <v>350</v>
      </c>
      <c r="I366" s="819">
        <v>280</v>
      </c>
      <c r="J366" s="819" t="e">
        <v>#DIV/0!</v>
      </c>
      <c r="K366" s="819">
        <f t="shared" si="41"/>
        <v>93.352835514498338</v>
      </c>
    </row>
    <row r="367" spans="1:11" s="334" customFormat="1" ht="17.100000000000001" customHeight="1" x14ac:dyDescent="0.25">
      <c r="A367" s="143">
        <v>7</v>
      </c>
      <c r="B367" s="274" t="s">
        <v>44</v>
      </c>
      <c r="C367" s="942">
        <v>2</v>
      </c>
      <c r="D367" s="976">
        <v>29.35</v>
      </c>
      <c r="E367" s="1030">
        <v>6468.63</v>
      </c>
      <c r="F367" s="942">
        <v>2587452</v>
      </c>
      <c r="G367" s="1030">
        <v>4184623.45</v>
      </c>
      <c r="H367" s="1001">
        <v>55</v>
      </c>
      <c r="I367" s="819">
        <v>540</v>
      </c>
      <c r="J367" s="819">
        <v>529.99999627748196</v>
      </c>
      <c r="K367" s="819">
        <f t="shared" si="41"/>
        <v>646.91031176617003</v>
      </c>
    </row>
    <row r="368" spans="1:11" s="334" customFormat="1" ht="17.100000000000001" customHeight="1" x14ac:dyDescent="0.25">
      <c r="A368" s="143">
        <v>8</v>
      </c>
      <c r="B368" s="333" t="s">
        <v>26</v>
      </c>
      <c r="C368" s="942">
        <v>0</v>
      </c>
      <c r="D368" s="951">
        <v>0</v>
      </c>
      <c r="E368" s="951"/>
      <c r="F368" s="951"/>
      <c r="G368" s="951"/>
      <c r="H368" s="1001"/>
      <c r="I368" s="819" t="e">
        <f t="shared" si="37"/>
        <v>#DIV/0!</v>
      </c>
      <c r="J368" s="819">
        <v>400</v>
      </c>
      <c r="K368" s="819" t="e">
        <f t="shared" si="41"/>
        <v>#DIV/0!</v>
      </c>
    </row>
    <row r="369" spans="1:11" s="334" customFormat="1" ht="17.100000000000001" customHeight="1" x14ac:dyDescent="0.25">
      <c r="A369" s="143">
        <v>9</v>
      </c>
      <c r="B369" s="273" t="s">
        <v>41</v>
      </c>
      <c r="C369" s="942">
        <v>32</v>
      </c>
      <c r="D369" s="943">
        <v>153.24</v>
      </c>
      <c r="E369" s="1030">
        <v>251989</v>
      </c>
      <c r="F369" s="942">
        <v>131034378</v>
      </c>
      <c r="G369" s="1030">
        <v>13505338</v>
      </c>
      <c r="H369" s="1001">
        <v>950</v>
      </c>
      <c r="I369" s="819">
        <f t="shared" si="37"/>
        <v>520.00038890586495</v>
      </c>
      <c r="J369" s="819">
        <v>500</v>
      </c>
      <c r="K369" s="819">
        <f t="shared" si="41"/>
        <v>53.594950573239309</v>
      </c>
    </row>
    <row r="370" spans="1:11" s="334" customFormat="1" ht="17.100000000000001" customHeight="1" x14ac:dyDescent="0.25">
      <c r="A370" s="143">
        <v>10</v>
      </c>
      <c r="B370" s="274" t="s">
        <v>40</v>
      </c>
      <c r="C370" s="942">
        <v>1</v>
      </c>
      <c r="D370" s="976">
        <v>5</v>
      </c>
      <c r="E370" s="1030"/>
      <c r="F370" s="942"/>
      <c r="G370" s="1030"/>
      <c r="H370" s="1001"/>
      <c r="I370" s="819" t="e">
        <f t="shared" si="37"/>
        <v>#DIV/0!</v>
      </c>
      <c r="J370" s="819" t="e">
        <v>#DIV/0!</v>
      </c>
      <c r="K370" s="819" t="e">
        <f t="shared" si="41"/>
        <v>#DIV/0!</v>
      </c>
    </row>
    <row r="371" spans="1:11" s="334" customFormat="1" ht="17.100000000000001" customHeight="1" x14ac:dyDescent="0.25">
      <c r="A371" s="143">
        <v>11</v>
      </c>
      <c r="B371" s="63" t="s">
        <v>68</v>
      </c>
      <c r="C371" s="942">
        <v>0</v>
      </c>
      <c r="D371" s="943">
        <v>0</v>
      </c>
      <c r="E371" s="1030"/>
      <c r="F371" s="942"/>
      <c r="G371" s="1030"/>
      <c r="H371" s="1001"/>
      <c r="I371" s="819" t="e">
        <f t="shared" si="37"/>
        <v>#DIV/0!</v>
      </c>
      <c r="J371" s="819" t="e">
        <v>#DIV/0!</v>
      </c>
      <c r="K371" s="819" t="e">
        <f t="shared" si="41"/>
        <v>#DIV/0!</v>
      </c>
    </row>
    <row r="372" spans="1:11" s="334" customFormat="1" ht="17.100000000000001" customHeight="1" x14ac:dyDescent="0.25">
      <c r="A372" s="143">
        <v>12</v>
      </c>
      <c r="B372" s="333" t="s">
        <v>46</v>
      </c>
      <c r="C372" s="942">
        <v>4</v>
      </c>
      <c r="D372" s="943">
        <v>72.55</v>
      </c>
      <c r="E372" s="1030">
        <v>1044</v>
      </c>
      <c r="F372" s="951">
        <f>E372*800</f>
        <v>835200</v>
      </c>
      <c r="G372" s="942">
        <v>1701239</v>
      </c>
      <c r="H372" s="1001">
        <v>15</v>
      </c>
      <c r="I372" s="819">
        <f t="shared" si="37"/>
        <v>800</v>
      </c>
      <c r="J372" s="819">
        <v>1300</v>
      </c>
      <c r="K372" s="819">
        <f t="shared" si="41"/>
        <v>1629.5392720306513</v>
      </c>
    </row>
    <row r="373" spans="1:11" s="334" customFormat="1" ht="17.100000000000001" customHeight="1" x14ac:dyDescent="0.25">
      <c r="A373" s="143">
        <v>13</v>
      </c>
      <c r="B373" s="333" t="s">
        <v>27</v>
      </c>
      <c r="C373" s="942">
        <v>1</v>
      </c>
      <c r="D373" s="943">
        <v>55.81</v>
      </c>
      <c r="E373" s="1030"/>
      <c r="F373" s="942"/>
      <c r="G373" s="1030"/>
      <c r="H373" s="1001"/>
      <c r="I373" s="819"/>
      <c r="J373" s="819"/>
      <c r="K373" s="819"/>
    </row>
    <row r="374" spans="1:11" s="334" customFormat="1" ht="17.100000000000001" customHeight="1" x14ac:dyDescent="0.25">
      <c r="A374" s="143">
        <v>13</v>
      </c>
      <c r="B374" s="196" t="s">
        <v>253</v>
      </c>
      <c r="C374" s="942">
        <v>1</v>
      </c>
      <c r="D374" s="942">
        <v>4.9800000000000004</v>
      </c>
      <c r="E374" s="1030"/>
      <c r="F374" s="942"/>
      <c r="G374" s="1030"/>
      <c r="H374" s="1001"/>
      <c r="I374" s="819"/>
      <c r="J374" s="819"/>
      <c r="K374" s="819"/>
    </row>
    <row r="375" spans="1:11" s="334" customFormat="1" ht="17.100000000000001" customHeight="1" x14ac:dyDescent="0.25">
      <c r="A375" s="206"/>
      <c r="B375" s="236" t="s">
        <v>75</v>
      </c>
      <c r="C375" s="942">
        <v>0</v>
      </c>
      <c r="D375" s="942">
        <v>0</v>
      </c>
      <c r="E375" s="942"/>
      <c r="F375" s="942"/>
      <c r="G375" s="942">
        <v>52495625</v>
      </c>
      <c r="H375" s="942"/>
      <c r="I375" s="819"/>
      <c r="J375" s="819"/>
      <c r="K375" s="819"/>
    </row>
    <row r="376" spans="1:11" s="334" customFormat="1" ht="17.100000000000001" customHeight="1" x14ac:dyDescent="0.25">
      <c r="A376" s="143"/>
      <c r="B376" s="63" t="s">
        <v>49</v>
      </c>
      <c r="C376" s="942">
        <v>0</v>
      </c>
      <c r="D376" s="942">
        <v>0</v>
      </c>
      <c r="E376" s="942"/>
      <c r="F376" s="942"/>
      <c r="G376" s="942">
        <v>290374245</v>
      </c>
      <c r="H376" s="942"/>
      <c r="I376" s="819"/>
      <c r="J376" s="819"/>
      <c r="K376" s="819"/>
    </row>
    <row r="377" spans="1:11" s="334" customFormat="1" ht="17.100000000000001" customHeight="1" x14ac:dyDescent="0.25">
      <c r="A377" s="1182" t="s">
        <v>50</v>
      </c>
      <c r="B377" s="1183"/>
      <c r="C377" s="362">
        <f t="shared" ref="C377:H377" si="42">SUM(C361:C376)</f>
        <v>834</v>
      </c>
      <c r="D377" s="362">
        <f t="shared" si="42"/>
        <v>2128.92</v>
      </c>
      <c r="E377" s="362">
        <f t="shared" si="42"/>
        <v>16431091.630000001</v>
      </c>
      <c r="F377" s="362">
        <f t="shared" si="42"/>
        <v>4178414808</v>
      </c>
      <c r="G377" s="362">
        <f t="shared" si="42"/>
        <v>1107723417.45</v>
      </c>
      <c r="H377" s="362">
        <f t="shared" si="42"/>
        <v>17390</v>
      </c>
      <c r="I377" s="819"/>
      <c r="J377" s="819"/>
      <c r="K377" s="819"/>
    </row>
    <row r="378" spans="1:11" s="334" customFormat="1" ht="17.100000000000001" customHeight="1" x14ac:dyDescent="0.25">
      <c r="A378" s="353"/>
      <c r="B378" s="354"/>
      <c r="C378" s="354"/>
      <c r="D378" s="355"/>
      <c r="E378" s="355"/>
      <c r="F378" s="356"/>
      <c r="G378" s="356"/>
      <c r="H378" s="369"/>
      <c r="I378" s="819"/>
      <c r="J378" s="819"/>
      <c r="K378" s="819"/>
    </row>
    <row r="379" spans="1:11" s="334" customFormat="1" ht="17.100000000000001" customHeight="1" x14ac:dyDescent="0.25">
      <c r="A379" s="1188" t="s">
        <v>97</v>
      </c>
      <c r="B379" s="1188"/>
      <c r="C379" s="1188"/>
      <c r="D379" s="1188"/>
      <c r="E379" s="1188"/>
      <c r="F379" s="1188"/>
      <c r="G379" s="1188"/>
      <c r="H379" s="1188"/>
      <c r="I379" s="819"/>
      <c r="J379" s="819"/>
      <c r="K379" s="819"/>
    </row>
    <row r="380" spans="1:11" s="334" customFormat="1" ht="17.100000000000001" customHeight="1" x14ac:dyDescent="0.25">
      <c r="A380" s="1184" t="s">
        <v>182</v>
      </c>
      <c r="B380" s="1184" t="s">
        <v>3</v>
      </c>
      <c r="C380" s="1184" t="s">
        <v>4</v>
      </c>
      <c r="D380" s="336" t="s">
        <v>5</v>
      </c>
      <c r="E380" s="337" t="s">
        <v>6</v>
      </c>
      <c r="F380" s="338" t="s">
        <v>7</v>
      </c>
      <c r="G380" s="338" t="s">
        <v>8</v>
      </c>
      <c r="H380" s="337" t="s">
        <v>9</v>
      </c>
      <c r="I380" s="819"/>
      <c r="J380" s="819"/>
      <c r="K380" s="819"/>
    </row>
    <row r="381" spans="1:11" s="334" customFormat="1" ht="17.100000000000001" customHeight="1" x14ac:dyDescent="0.25">
      <c r="A381" s="1185"/>
      <c r="B381" s="1185"/>
      <c r="C381" s="1185"/>
      <c r="D381" s="302" t="s">
        <v>380</v>
      </c>
      <c r="E381" s="339" t="s">
        <v>79</v>
      </c>
      <c r="F381" s="340" t="s">
        <v>632</v>
      </c>
      <c r="G381" s="340" t="s">
        <v>671</v>
      </c>
      <c r="H381" s="303" t="s">
        <v>13</v>
      </c>
      <c r="I381" s="819"/>
      <c r="J381" s="819"/>
      <c r="K381" s="819"/>
    </row>
    <row r="382" spans="1:11" s="334" customFormat="1" ht="17.100000000000001" customHeight="1" x14ac:dyDescent="0.25">
      <c r="A382" s="143">
        <v>1</v>
      </c>
      <c r="B382" s="63" t="s">
        <v>58</v>
      </c>
      <c r="C382" s="942">
        <v>352</v>
      </c>
      <c r="D382" s="942">
        <v>757.17700000000002</v>
      </c>
      <c r="E382" s="942">
        <v>925819.37</v>
      </c>
      <c r="F382" s="942">
        <v>1990511646</v>
      </c>
      <c r="G382" s="942">
        <v>268487545</v>
      </c>
      <c r="H382" s="942">
        <v>2272</v>
      </c>
      <c r="I382" s="819">
        <f t="shared" si="37"/>
        <v>2150.000000540062</v>
      </c>
      <c r="J382" s="819">
        <v>1900</v>
      </c>
      <c r="K382" s="819">
        <f t="shared" si="39"/>
        <v>289.999921907013</v>
      </c>
    </row>
    <row r="383" spans="1:11" s="334" customFormat="1" ht="17.100000000000001" customHeight="1" x14ac:dyDescent="0.25">
      <c r="A383" s="143">
        <v>2</v>
      </c>
      <c r="B383" s="63" t="s">
        <v>59</v>
      </c>
      <c r="C383" s="942">
        <v>3</v>
      </c>
      <c r="D383" s="942">
        <v>1142.8399999999999</v>
      </c>
      <c r="E383" s="942">
        <v>283578</v>
      </c>
      <c r="F383" s="942">
        <v>155967900</v>
      </c>
      <c r="G383" s="942">
        <v>12574287</v>
      </c>
      <c r="H383" s="942">
        <v>438</v>
      </c>
      <c r="I383" s="1049">
        <v>250</v>
      </c>
      <c r="J383" s="1049">
        <v>47.361605343697256</v>
      </c>
      <c r="K383" s="819">
        <f t="shared" si="39"/>
        <v>44.341546241245794</v>
      </c>
    </row>
    <row r="384" spans="1:11" s="334" customFormat="1" ht="17.100000000000001" customHeight="1" x14ac:dyDescent="0.25">
      <c r="A384" s="143">
        <v>3</v>
      </c>
      <c r="B384" s="63" t="s">
        <v>63</v>
      </c>
      <c r="C384" s="942">
        <v>256</v>
      </c>
      <c r="D384" s="942">
        <v>268.93</v>
      </c>
      <c r="E384" s="942">
        <v>1425449</v>
      </c>
      <c r="F384" s="942">
        <v>299344290</v>
      </c>
      <c r="G384" s="942">
        <v>48823267</v>
      </c>
      <c r="H384" s="942">
        <v>3115</v>
      </c>
      <c r="I384" s="819">
        <f t="shared" si="37"/>
        <v>210</v>
      </c>
      <c r="J384" s="819">
        <v>180</v>
      </c>
      <c r="K384" s="819">
        <f t="shared" si="39"/>
        <v>34.251149637763262</v>
      </c>
    </row>
    <row r="385" spans="1:14" s="334" customFormat="1" ht="17.100000000000001" customHeight="1" x14ac:dyDescent="0.25">
      <c r="A385" s="143">
        <v>4</v>
      </c>
      <c r="B385" s="274" t="s">
        <v>31</v>
      </c>
      <c r="C385" s="942">
        <v>1</v>
      </c>
      <c r="D385" s="942">
        <v>225</v>
      </c>
      <c r="E385" s="942">
        <v>16800</v>
      </c>
      <c r="F385" s="942">
        <v>12096000</v>
      </c>
      <c r="G385" s="942">
        <v>108000</v>
      </c>
      <c r="H385" s="942">
        <v>0</v>
      </c>
      <c r="I385" s="819">
        <f t="shared" si="37"/>
        <v>720</v>
      </c>
      <c r="J385" s="819" t="e">
        <v>#DIV/0!</v>
      </c>
      <c r="K385" s="819">
        <f t="shared" si="39"/>
        <v>6.4285714285714288</v>
      </c>
    </row>
    <row r="386" spans="1:14" s="334" customFormat="1" ht="17.100000000000001" customHeight="1" x14ac:dyDescent="0.25">
      <c r="A386" s="143">
        <v>5</v>
      </c>
      <c r="B386" s="274" t="s">
        <v>32</v>
      </c>
      <c r="C386" s="942">
        <v>1</v>
      </c>
      <c r="D386" s="942">
        <v>24.5</v>
      </c>
      <c r="E386" s="942">
        <v>418</v>
      </c>
      <c r="F386" s="942">
        <v>104500</v>
      </c>
      <c r="G386" s="942">
        <v>12563</v>
      </c>
      <c r="H386" s="942">
        <v>4</v>
      </c>
      <c r="I386" s="819">
        <f t="shared" si="37"/>
        <v>250</v>
      </c>
      <c r="J386" s="819">
        <v>0</v>
      </c>
      <c r="K386" s="819">
        <f t="shared" si="39"/>
        <v>30.055023923444978</v>
      </c>
    </row>
    <row r="387" spans="1:14" s="334" customFormat="1" ht="17.100000000000001" customHeight="1" x14ac:dyDescent="0.25">
      <c r="A387" s="143">
        <v>6</v>
      </c>
      <c r="B387" s="274" t="s">
        <v>69</v>
      </c>
      <c r="C387" s="942">
        <v>5</v>
      </c>
      <c r="D387" s="942">
        <v>5</v>
      </c>
      <c r="E387" s="942">
        <v>22304</v>
      </c>
      <c r="F387" s="942">
        <v>5576000</v>
      </c>
      <c r="G387" s="942">
        <f>E387*122</f>
        <v>2721088</v>
      </c>
      <c r="H387" s="942">
        <v>50</v>
      </c>
      <c r="I387" s="819">
        <f t="shared" si="37"/>
        <v>250</v>
      </c>
      <c r="J387" s="819">
        <v>130</v>
      </c>
      <c r="K387" s="819">
        <f t="shared" si="39"/>
        <v>122</v>
      </c>
    </row>
    <row r="388" spans="1:14" s="334" customFormat="1" ht="17.100000000000001" customHeight="1" x14ac:dyDescent="0.25">
      <c r="A388" s="143">
        <v>7</v>
      </c>
      <c r="B388" s="274" t="s">
        <v>65</v>
      </c>
      <c r="C388" s="942">
        <v>0</v>
      </c>
      <c r="D388" s="942">
        <v>0</v>
      </c>
      <c r="E388" s="942">
        <v>599994</v>
      </c>
      <c r="F388" s="942">
        <v>20999790</v>
      </c>
      <c r="G388" s="942">
        <f>6000000+553870</f>
        <v>6553870</v>
      </c>
      <c r="H388" s="942">
        <f>1052+150</f>
        <v>1202</v>
      </c>
      <c r="I388" s="819">
        <f t="shared" si="37"/>
        <v>35</v>
      </c>
      <c r="J388" s="819">
        <v>10</v>
      </c>
      <c r="K388" s="819">
        <f t="shared" si="39"/>
        <v>10.923225898925656</v>
      </c>
    </row>
    <row r="389" spans="1:14" s="334" customFormat="1" ht="17.100000000000001" customHeight="1" x14ac:dyDescent="0.25">
      <c r="A389" s="143"/>
      <c r="B389" s="63" t="s">
        <v>75</v>
      </c>
      <c r="C389" s="942">
        <v>0</v>
      </c>
      <c r="D389" s="942">
        <v>0</v>
      </c>
      <c r="E389" s="942"/>
      <c r="F389" s="942"/>
      <c r="G389" s="942">
        <v>65100000</v>
      </c>
      <c r="H389" s="942"/>
      <c r="I389" s="819"/>
      <c r="J389" s="819"/>
      <c r="K389" s="819"/>
    </row>
    <row r="390" spans="1:14" s="334" customFormat="1" ht="17.100000000000001" customHeight="1" x14ac:dyDescent="0.25">
      <c r="A390" s="143"/>
      <c r="B390" s="63" t="s">
        <v>49</v>
      </c>
      <c r="C390" s="942">
        <v>0</v>
      </c>
      <c r="D390" s="942">
        <v>0</v>
      </c>
      <c r="E390" s="942"/>
      <c r="F390" s="942"/>
      <c r="G390" s="942">
        <v>158667357</v>
      </c>
      <c r="H390" s="942"/>
      <c r="I390" s="819"/>
      <c r="J390" s="819"/>
      <c r="K390" s="819"/>
    </row>
    <row r="391" spans="1:14" s="334" customFormat="1" ht="17.100000000000001" customHeight="1" x14ac:dyDescent="0.25">
      <c r="A391" s="1182" t="s">
        <v>50</v>
      </c>
      <c r="B391" s="1183"/>
      <c r="C391" s="371">
        <f>SUM(C382:C390)</f>
        <v>618</v>
      </c>
      <c r="D391" s="710">
        <f t="shared" ref="D391:H391" si="43">SUM(D382:D390)</f>
        <v>2423.4469999999997</v>
      </c>
      <c r="E391" s="591">
        <f t="shared" si="43"/>
        <v>3274362.37</v>
      </c>
      <c r="F391" s="371">
        <f t="shared" si="43"/>
        <v>2484600126</v>
      </c>
      <c r="G391" s="371">
        <f>SUM(G382:G390)</f>
        <v>563047977</v>
      </c>
      <c r="H391" s="371">
        <f t="shared" si="43"/>
        <v>7081</v>
      </c>
      <c r="I391" s="819"/>
      <c r="J391" s="819"/>
      <c r="K391" s="819"/>
    </row>
    <row r="392" spans="1:14" s="334" customFormat="1" ht="17.100000000000001" customHeight="1" x14ac:dyDescent="0.25">
      <c r="A392" s="343"/>
      <c r="B392" s="352"/>
      <c r="C392" s="352"/>
      <c r="D392" s="372"/>
      <c r="E392" s="352"/>
      <c r="F392" s="373"/>
      <c r="G392" s="373"/>
      <c r="H392" s="347"/>
      <c r="I392" s="819"/>
      <c r="J392" s="819"/>
      <c r="K392" s="819"/>
    </row>
    <row r="393" spans="1:14" s="334" customFormat="1" ht="17.100000000000001" customHeight="1" x14ac:dyDescent="0.25">
      <c r="A393" s="1188" t="s">
        <v>128</v>
      </c>
      <c r="B393" s="1188"/>
      <c r="C393" s="1188"/>
      <c r="D393" s="1188"/>
      <c r="E393" s="1188"/>
      <c r="F393" s="1188"/>
      <c r="G393" s="1188"/>
      <c r="H393" s="1188"/>
      <c r="I393" s="819"/>
      <c r="J393" s="819"/>
      <c r="K393" s="819"/>
    </row>
    <row r="394" spans="1:14" s="334" customFormat="1" ht="17.100000000000001" customHeight="1" x14ac:dyDescent="0.25">
      <c r="A394" s="1184" t="s">
        <v>182</v>
      </c>
      <c r="B394" s="1184" t="s">
        <v>3</v>
      </c>
      <c r="C394" s="1184" t="s">
        <v>4</v>
      </c>
      <c r="D394" s="336" t="s">
        <v>5</v>
      </c>
      <c r="E394" s="337" t="s">
        <v>6</v>
      </c>
      <c r="F394" s="338" t="s">
        <v>7</v>
      </c>
      <c r="G394" s="338" t="s">
        <v>8</v>
      </c>
      <c r="H394" s="337" t="s">
        <v>9</v>
      </c>
      <c r="I394" s="819"/>
      <c r="J394" s="819"/>
      <c r="K394" s="819"/>
    </row>
    <row r="395" spans="1:14" s="334" customFormat="1" ht="17.100000000000001" customHeight="1" x14ac:dyDescent="0.25">
      <c r="A395" s="1185"/>
      <c r="B395" s="1185"/>
      <c r="C395" s="1185"/>
      <c r="D395" s="302" t="s">
        <v>380</v>
      </c>
      <c r="E395" s="339" t="s">
        <v>79</v>
      </c>
      <c r="F395" s="340" t="s">
        <v>632</v>
      </c>
      <c r="G395" s="340" t="s">
        <v>671</v>
      </c>
      <c r="H395" s="303" t="s">
        <v>13</v>
      </c>
      <c r="I395" s="819"/>
      <c r="J395" s="819"/>
      <c r="K395" s="819"/>
    </row>
    <row r="396" spans="1:14" s="334" customFormat="1" ht="17.100000000000001" customHeight="1" x14ac:dyDescent="0.25">
      <c r="A396" s="206">
        <v>1</v>
      </c>
      <c r="B396" s="63" t="s">
        <v>71</v>
      </c>
      <c r="C396" s="1040">
        <v>34</v>
      </c>
      <c r="D396" s="1041">
        <v>73.25</v>
      </c>
      <c r="E396" s="1042">
        <v>5366</v>
      </c>
      <c r="F396" s="1040">
        <f>E396*750</f>
        <v>4024500</v>
      </c>
      <c r="G396" s="1040">
        <v>405646</v>
      </c>
      <c r="H396" s="1040">
        <v>40</v>
      </c>
      <c r="I396" s="819">
        <f t="shared" ref="I396:I455" si="44">F396/E396</f>
        <v>750</v>
      </c>
      <c r="J396" s="819">
        <v>780</v>
      </c>
      <c r="K396" s="819">
        <f t="shared" si="39"/>
        <v>75.595601938128965</v>
      </c>
      <c r="L396" s="1075" t="s">
        <v>615</v>
      </c>
      <c r="M396">
        <v>266929.99</v>
      </c>
      <c r="N396">
        <v>12011850.010000002</v>
      </c>
    </row>
    <row r="397" spans="1:14" s="334" customFormat="1" ht="17.100000000000001" customHeight="1" x14ac:dyDescent="0.25">
      <c r="A397" s="206">
        <v>2</v>
      </c>
      <c r="B397" s="63" t="s">
        <v>63</v>
      </c>
      <c r="C397" s="1040">
        <v>36</v>
      </c>
      <c r="D397" s="1041">
        <v>39.1</v>
      </c>
      <c r="E397" s="1042">
        <v>1725119</v>
      </c>
      <c r="F397" s="1040">
        <f>E397*205</f>
        <v>353649395</v>
      </c>
      <c r="G397" s="1040">
        <f>E397*35</f>
        <v>60379165</v>
      </c>
      <c r="H397" s="1040">
        <v>150</v>
      </c>
      <c r="I397" s="819">
        <f t="shared" si="44"/>
        <v>205</v>
      </c>
      <c r="J397" s="819">
        <v>185.00034479769985</v>
      </c>
      <c r="K397" s="819">
        <f t="shared" si="39"/>
        <v>35</v>
      </c>
      <c r="L397" s="1075" t="s">
        <v>53</v>
      </c>
      <c r="M397">
        <v>11646.63</v>
      </c>
      <c r="N397">
        <v>516190.35000000003</v>
      </c>
    </row>
    <row r="398" spans="1:14" s="334" customFormat="1" ht="17.100000000000001" customHeight="1" x14ac:dyDescent="0.25">
      <c r="A398" s="206">
        <v>3</v>
      </c>
      <c r="B398" s="63" t="s">
        <v>198</v>
      </c>
      <c r="C398" s="1040">
        <v>12</v>
      </c>
      <c r="D398" s="1041">
        <v>13.07</v>
      </c>
      <c r="E398" s="1040">
        <v>11646</v>
      </c>
      <c r="F398" s="1040">
        <f>E398*660</f>
        <v>7686360</v>
      </c>
      <c r="G398" s="1040">
        <v>516190</v>
      </c>
      <c r="H398" s="994">
        <v>40</v>
      </c>
      <c r="I398" s="819">
        <f t="shared" si="44"/>
        <v>660</v>
      </c>
      <c r="J398" s="819">
        <v>650.06882747933889</v>
      </c>
      <c r="K398" s="819">
        <f t="shared" si="39"/>
        <v>44.323372831873606</v>
      </c>
      <c r="L398" s="1075" t="s">
        <v>208</v>
      </c>
      <c r="M398">
        <v>1563424.2400000002</v>
      </c>
      <c r="N398">
        <v>66149942.600000016</v>
      </c>
    </row>
    <row r="399" spans="1:14" s="334" customFormat="1" ht="17.100000000000001" customHeight="1" x14ac:dyDescent="0.25">
      <c r="A399" s="206">
        <v>4</v>
      </c>
      <c r="B399" s="63" t="s">
        <v>61</v>
      </c>
      <c r="C399" s="1040">
        <v>69</v>
      </c>
      <c r="D399" s="1041">
        <v>265.26</v>
      </c>
      <c r="E399" s="1042">
        <v>1563424</v>
      </c>
      <c r="F399" s="1040">
        <f>E399*1123</f>
        <v>1755725152</v>
      </c>
      <c r="G399" s="1040">
        <f>E399*113</f>
        <v>176666912</v>
      </c>
      <c r="H399" s="994">
        <v>758</v>
      </c>
      <c r="I399" s="819">
        <v>1200</v>
      </c>
      <c r="J399" s="819">
        <v>1150.0000307338175</v>
      </c>
      <c r="K399" s="819">
        <f t="shared" ref="K399:K463" si="45">G399/E399</f>
        <v>113</v>
      </c>
      <c r="L399" s="1075" t="s">
        <v>661</v>
      </c>
      <c r="M399">
        <v>1725118.7000000002</v>
      </c>
      <c r="N399">
        <v>42599530.729999997</v>
      </c>
    </row>
    <row r="400" spans="1:14" s="334" customFormat="1" ht="17.100000000000001" customHeight="1" x14ac:dyDescent="0.25">
      <c r="A400" s="206">
        <v>5</v>
      </c>
      <c r="B400" s="63" t="s">
        <v>60</v>
      </c>
      <c r="C400" s="1040">
        <v>0</v>
      </c>
      <c r="D400" s="1041">
        <v>0</v>
      </c>
      <c r="E400" s="1042">
        <v>0</v>
      </c>
      <c r="F400" s="1040">
        <v>0</v>
      </c>
      <c r="G400" s="1040">
        <v>0</v>
      </c>
      <c r="H400" s="994">
        <v>0</v>
      </c>
      <c r="I400" s="819" t="e">
        <f t="shared" si="44"/>
        <v>#DIV/0!</v>
      </c>
      <c r="J400" s="819">
        <v>375</v>
      </c>
      <c r="K400" s="819" t="e">
        <f t="shared" si="45"/>
        <v>#DIV/0!</v>
      </c>
      <c r="L400" s="1075" t="s">
        <v>667</v>
      </c>
      <c r="M400">
        <v>5366.37</v>
      </c>
      <c r="N400">
        <v>405646.32</v>
      </c>
    </row>
    <row r="401" spans="1:11" s="334" customFormat="1" ht="17.100000000000001" customHeight="1" x14ac:dyDescent="0.25">
      <c r="A401" s="206">
        <v>6</v>
      </c>
      <c r="B401" s="63" t="s">
        <v>59</v>
      </c>
      <c r="C401" s="1040">
        <v>2</v>
      </c>
      <c r="D401" s="1040">
        <v>2874.9</v>
      </c>
      <c r="E401" s="1042">
        <v>266930</v>
      </c>
      <c r="F401" s="1040">
        <f>E401*550</f>
        <v>146811500</v>
      </c>
      <c r="G401" s="1040">
        <f>E401*45</f>
        <v>12011850</v>
      </c>
      <c r="H401" s="1040">
        <v>40</v>
      </c>
      <c r="I401" s="819">
        <f t="shared" si="44"/>
        <v>550</v>
      </c>
      <c r="J401" s="819">
        <v>289.87445263327777</v>
      </c>
      <c r="K401" s="819">
        <f t="shared" si="45"/>
        <v>45</v>
      </c>
    </row>
    <row r="402" spans="1:11" s="334" customFormat="1" ht="17.100000000000001" customHeight="1" x14ac:dyDescent="0.25">
      <c r="A402" s="206">
        <v>7</v>
      </c>
      <c r="B402" s="63" t="s">
        <v>194</v>
      </c>
      <c r="C402" s="1040">
        <v>0</v>
      </c>
      <c r="D402" s="1040">
        <v>0</v>
      </c>
      <c r="E402" s="1042">
        <v>40354</v>
      </c>
      <c r="F402" s="1040">
        <v>7869030</v>
      </c>
      <c r="G402" s="1040">
        <v>1291000</v>
      </c>
      <c r="H402" s="1040">
        <v>10</v>
      </c>
      <c r="I402" s="819">
        <f t="shared" si="44"/>
        <v>195</v>
      </c>
      <c r="J402" s="819">
        <v>180</v>
      </c>
      <c r="K402" s="819">
        <f t="shared" si="45"/>
        <v>31.991871933389504</v>
      </c>
    </row>
    <row r="403" spans="1:11" s="334" customFormat="1" ht="17.100000000000001" customHeight="1" x14ac:dyDescent="0.25">
      <c r="A403" s="206">
        <v>8</v>
      </c>
      <c r="B403" s="63" t="s">
        <v>199</v>
      </c>
      <c r="C403" s="1040">
        <v>0</v>
      </c>
      <c r="D403" s="1040">
        <v>0</v>
      </c>
      <c r="E403" s="1042">
        <v>906102</v>
      </c>
      <c r="F403" s="1040">
        <v>22652550</v>
      </c>
      <c r="G403" s="1040">
        <v>5436000</v>
      </c>
      <c r="H403" s="1040">
        <v>75</v>
      </c>
      <c r="I403" s="819">
        <f t="shared" si="44"/>
        <v>25</v>
      </c>
      <c r="J403" s="819">
        <v>25</v>
      </c>
      <c r="K403" s="819">
        <f t="shared" si="45"/>
        <v>5.9993245793519936</v>
      </c>
    </row>
    <row r="404" spans="1:11" s="334" customFormat="1" ht="17.100000000000001" customHeight="1" x14ac:dyDescent="0.25">
      <c r="A404" s="206"/>
      <c r="B404" s="63" t="s">
        <v>75</v>
      </c>
      <c r="C404" s="991">
        <v>0</v>
      </c>
      <c r="D404" s="991">
        <v>0</v>
      </c>
      <c r="E404" s="991"/>
      <c r="F404" s="991"/>
      <c r="G404" s="991">
        <v>55439000</v>
      </c>
      <c r="H404" s="991"/>
      <c r="I404" s="819"/>
      <c r="J404" s="819"/>
      <c r="K404" s="819"/>
    </row>
    <row r="405" spans="1:11" s="334" customFormat="1" ht="17.100000000000001" customHeight="1" x14ac:dyDescent="0.25">
      <c r="A405" s="206"/>
      <c r="B405" s="63" t="s">
        <v>49</v>
      </c>
      <c r="C405" s="991">
        <v>0</v>
      </c>
      <c r="D405" s="991">
        <v>0</v>
      </c>
      <c r="E405" s="991"/>
      <c r="F405" s="991"/>
      <c r="G405" s="991">
        <v>67820000</v>
      </c>
      <c r="H405" s="991"/>
      <c r="I405" s="819"/>
      <c r="J405" s="819"/>
      <c r="K405" s="819"/>
    </row>
    <row r="406" spans="1:11" s="334" customFormat="1" ht="17.100000000000001" customHeight="1" x14ac:dyDescent="0.25">
      <c r="A406" s="1182" t="s">
        <v>50</v>
      </c>
      <c r="B406" s="1183"/>
      <c r="C406" s="371">
        <f>SUM(C396:C405)</f>
        <v>153</v>
      </c>
      <c r="D406" s="371">
        <f t="shared" ref="D406:H406" si="46">SUM(D396:D405)</f>
        <v>3265.58</v>
      </c>
      <c r="E406" s="371">
        <f t="shared" si="46"/>
        <v>4518941</v>
      </c>
      <c r="F406" s="371">
        <f t="shared" si="46"/>
        <v>2298418487</v>
      </c>
      <c r="G406" s="371">
        <f t="shared" si="46"/>
        <v>379965763</v>
      </c>
      <c r="H406" s="371">
        <f t="shared" si="46"/>
        <v>1113</v>
      </c>
      <c r="I406" s="819"/>
      <c r="J406" s="819"/>
      <c r="K406" s="819"/>
    </row>
    <row r="407" spans="1:11" s="334" customFormat="1" ht="17.100000000000001" customHeight="1" x14ac:dyDescent="0.25">
      <c r="A407" s="343"/>
      <c r="B407" s="349"/>
      <c r="C407" s="349"/>
      <c r="D407" s="350"/>
      <c r="E407" s="350"/>
      <c r="F407" s="351"/>
      <c r="G407" s="351"/>
      <c r="H407" s="347"/>
      <c r="I407" s="819"/>
      <c r="J407" s="819"/>
      <c r="K407" s="819"/>
    </row>
    <row r="408" spans="1:11" s="334" customFormat="1" ht="17.100000000000001" customHeight="1" x14ac:dyDescent="0.25">
      <c r="A408" s="1188" t="s">
        <v>84</v>
      </c>
      <c r="B408" s="1188"/>
      <c r="C408" s="1188"/>
      <c r="D408" s="1188"/>
      <c r="E408" s="1188"/>
      <c r="F408" s="1188"/>
      <c r="G408" s="1188"/>
      <c r="H408" s="1188"/>
      <c r="I408" s="819"/>
      <c r="J408" s="819"/>
      <c r="K408" s="819"/>
    </row>
    <row r="409" spans="1:11" s="334" customFormat="1" ht="17.100000000000001" customHeight="1" x14ac:dyDescent="0.25">
      <c r="A409" s="1184" t="s">
        <v>182</v>
      </c>
      <c r="B409" s="1184" t="s">
        <v>3</v>
      </c>
      <c r="C409" s="1184" t="s">
        <v>4</v>
      </c>
      <c r="D409" s="336" t="s">
        <v>5</v>
      </c>
      <c r="E409" s="337" t="s">
        <v>6</v>
      </c>
      <c r="F409" s="338" t="s">
        <v>7</v>
      </c>
      <c r="G409" s="338" t="s">
        <v>8</v>
      </c>
      <c r="H409" s="337" t="s">
        <v>9</v>
      </c>
      <c r="I409" s="819"/>
      <c r="J409" s="819"/>
      <c r="K409" s="819"/>
    </row>
    <row r="410" spans="1:11" s="334" customFormat="1" ht="17.100000000000001" customHeight="1" x14ac:dyDescent="0.25">
      <c r="A410" s="1185"/>
      <c r="B410" s="1185"/>
      <c r="C410" s="1185"/>
      <c r="D410" s="302" t="s">
        <v>380</v>
      </c>
      <c r="E410" s="339" t="s">
        <v>79</v>
      </c>
      <c r="F410" s="340" t="s">
        <v>632</v>
      </c>
      <c r="G410" s="340" t="s">
        <v>671</v>
      </c>
      <c r="H410" s="303" t="s">
        <v>13</v>
      </c>
      <c r="I410" s="819"/>
      <c r="J410" s="819"/>
      <c r="K410" s="819"/>
    </row>
    <row r="411" spans="1:11" s="334" customFormat="1" ht="17.100000000000001" customHeight="1" x14ac:dyDescent="0.25">
      <c r="A411" s="206">
        <v>1</v>
      </c>
      <c r="B411" s="63" t="s">
        <v>60</v>
      </c>
      <c r="C411" s="942">
        <v>1</v>
      </c>
      <c r="D411" s="943">
        <v>4.83</v>
      </c>
      <c r="E411" s="1030">
        <v>612</v>
      </c>
      <c r="F411" s="1030">
        <v>214285</v>
      </c>
      <c r="G411" s="1004">
        <v>60000</v>
      </c>
      <c r="H411" s="1030">
        <v>40</v>
      </c>
      <c r="I411" s="819">
        <f t="shared" si="44"/>
        <v>350.13888888888891</v>
      </c>
      <c r="J411" s="819">
        <v>350</v>
      </c>
      <c r="K411" s="819">
        <f t="shared" si="45"/>
        <v>98.039215686274517</v>
      </c>
    </row>
    <row r="412" spans="1:11" s="334" customFormat="1" ht="17.100000000000001" customHeight="1" x14ac:dyDescent="0.25">
      <c r="A412" s="206">
        <v>2</v>
      </c>
      <c r="B412" s="63" t="s">
        <v>62</v>
      </c>
      <c r="C412" s="942">
        <v>9</v>
      </c>
      <c r="D412" s="943">
        <v>21.481999999999999</v>
      </c>
      <c r="E412" s="1030">
        <v>1586</v>
      </c>
      <c r="F412" s="1030">
        <v>2934482</v>
      </c>
      <c r="G412" s="1004">
        <v>460000</v>
      </c>
      <c r="H412" s="1030">
        <v>21</v>
      </c>
      <c r="I412" s="819">
        <f t="shared" si="44"/>
        <v>1850.2408575031525</v>
      </c>
      <c r="J412" s="819">
        <v>1850</v>
      </c>
      <c r="K412" s="819">
        <f t="shared" si="45"/>
        <v>290.03783102143757</v>
      </c>
    </row>
    <row r="413" spans="1:11" s="334" customFormat="1" ht="17.100000000000001" customHeight="1" x14ac:dyDescent="0.25">
      <c r="A413" s="206">
        <v>3</v>
      </c>
      <c r="B413" s="63" t="s">
        <v>58</v>
      </c>
      <c r="C413" s="942">
        <v>26</v>
      </c>
      <c r="D413" s="943">
        <v>100.483</v>
      </c>
      <c r="E413" s="1030">
        <v>205770</v>
      </c>
      <c r="F413" s="1030">
        <v>442405500</v>
      </c>
      <c r="G413" s="1004">
        <v>7202000</v>
      </c>
      <c r="H413" s="1030">
        <v>68</v>
      </c>
      <c r="I413" s="819">
        <f t="shared" si="44"/>
        <v>2150</v>
      </c>
      <c r="J413" s="819">
        <v>2150</v>
      </c>
      <c r="K413" s="819">
        <f t="shared" si="45"/>
        <v>35.000242989745836</v>
      </c>
    </row>
    <row r="414" spans="1:11" s="334" customFormat="1" ht="17.100000000000001" customHeight="1" x14ac:dyDescent="0.25">
      <c r="A414" s="206">
        <v>4</v>
      </c>
      <c r="B414" s="63" t="s">
        <v>68</v>
      </c>
      <c r="C414" s="942">
        <v>11</v>
      </c>
      <c r="D414" s="943">
        <v>14.914</v>
      </c>
      <c r="E414" s="1030">
        <v>96220</v>
      </c>
      <c r="F414" s="1030">
        <v>23573900</v>
      </c>
      <c r="G414" s="1004">
        <v>8206000</v>
      </c>
      <c r="H414" s="1030">
        <v>24</v>
      </c>
      <c r="I414" s="819">
        <f t="shared" si="44"/>
        <v>245</v>
      </c>
      <c r="J414" s="819">
        <v>250</v>
      </c>
      <c r="K414" s="819">
        <f t="shared" si="45"/>
        <v>85.283724797339431</v>
      </c>
    </row>
    <row r="415" spans="1:11" s="334" customFormat="1" ht="17.100000000000001" customHeight="1" x14ac:dyDescent="0.25">
      <c r="A415" s="206">
        <v>5</v>
      </c>
      <c r="B415" s="63" t="s">
        <v>63</v>
      </c>
      <c r="C415" s="942">
        <v>361</v>
      </c>
      <c r="D415" s="943">
        <v>471.63</v>
      </c>
      <c r="E415" s="1030">
        <v>18758422</v>
      </c>
      <c r="F415" s="1030">
        <v>3939268620</v>
      </c>
      <c r="G415" s="1004">
        <v>807608000</v>
      </c>
      <c r="H415" s="1030">
        <v>3785</v>
      </c>
      <c r="I415" s="819">
        <f t="shared" si="44"/>
        <v>210</v>
      </c>
      <c r="J415" s="819">
        <v>185</v>
      </c>
      <c r="K415" s="819">
        <f t="shared" si="45"/>
        <v>43.053088367454365</v>
      </c>
    </row>
    <row r="416" spans="1:11" s="334" customFormat="1" ht="17.100000000000001" customHeight="1" x14ac:dyDescent="0.25">
      <c r="A416" s="206">
        <v>6</v>
      </c>
      <c r="B416" s="63" t="s">
        <v>59</v>
      </c>
      <c r="C416" s="942">
        <v>1</v>
      </c>
      <c r="D416" s="942">
        <v>0</v>
      </c>
      <c r="E416" s="942">
        <v>471253</v>
      </c>
      <c r="F416" s="942">
        <v>259189150</v>
      </c>
      <c r="G416" s="942">
        <v>26509000</v>
      </c>
      <c r="H416" s="942">
        <v>18</v>
      </c>
      <c r="I416" s="819">
        <v>290</v>
      </c>
      <c r="J416" s="819" t="e">
        <v>#DIV/0!</v>
      </c>
      <c r="K416" s="819">
        <f t="shared" si="45"/>
        <v>56.252161789951472</v>
      </c>
    </row>
    <row r="417" spans="1:11" s="334" customFormat="1" ht="17.100000000000001" customHeight="1" x14ac:dyDescent="0.25">
      <c r="A417" s="206">
        <v>7</v>
      </c>
      <c r="B417" s="63" t="s">
        <v>54</v>
      </c>
      <c r="C417" s="942">
        <v>0</v>
      </c>
      <c r="D417" s="943">
        <v>0</v>
      </c>
      <c r="E417" s="1030">
        <v>707468</v>
      </c>
      <c r="F417" s="1030">
        <v>176867187</v>
      </c>
      <c r="G417" s="1004">
        <v>22639000</v>
      </c>
      <c r="H417" s="1030">
        <v>250</v>
      </c>
      <c r="I417" s="819">
        <f t="shared" si="44"/>
        <v>250.00026432290932</v>
      </c>
      <c r="J417" s="819">
        <v>220</v>
      </c>
      <c r="K417" s="819">
        <f t="shared" si="45"/>
        <v>32.000033923795847</v>
      </c>
    </row>
    <row r="418" spans="1:11" s="334" customFormat="1" ht="17.100000000000001" customHeight="1" x14ac:dyDescent="0.25">
      <c r="A418" s="206">
        <v>8</v>
      </c>
      <c r="B418" s="63" t="s">
        <v>200</v>
      </c>
      <c r="C418" s="942">
        <v>1</v>
      </c>
      <c r="D418" s="942">
        <v>1</v>
      </c>
      <c r="E418" s="942">
        <v>0</v>
      </c>
      <c r="F418" s="942">
        <v>0</v>
      </c>
      <c r="G418" s="942">
        <v>0</v>
      </c>
      <c r="H418" s="942">
        <v>0</v>
      </c>
      <c r="I418" s="819" t="e">
        <f t="shared" si="44"/>
        <v>#DIV/0!</v>
      </c>
      <c r="J418" s="819" t="e">
        <v>#DIV/0!</v>
      </c>
      <c r="K418" s="819" t="e">
        <f t="shared" si="45"/>
        <v>#DIV/0!</v>
      </c>
    </row>
    <row r="419" spans="1:11" s="334" customFormat="1" ht="17.100000000000001" customHeight="1" x14ac:dyDescent="0.25">
      <c r="A419" s="206">
        <v>9</v>
      </c>
      <c r="B419" s="166" t="s">
        <v>25</v>
      </c>
      <c r="C419" s="942">
        <v>4</v>
      </c>
      <c r="D419" s="943">
        <v>19.887499999999999</v>
      </c>
      <c r="E419" s="1030">
        <v>2186</v>
      </c>
      <c r="F419" s="1030">
        <v>1858100</v>
      </c>
      <c r="G419" s="1004">
        <v>4353000</v>
      </c>
      <c r="H419" s="942">
        <v>11</v>
      </c>
      <c r="I419" s="819">
        <f t="shared" si="44"/>
        <v>850</v>
      </c>
      <c r="J419" s="819">
        <v>850</v>
      </c>
      <c r="K419" s="819">
        <f t="shared" si="45"/>
        <v>1991.3083257090577</v>
      </c>
    </row>
    <row r="420" spans="1:11" s="334" customFormat="1" ht="17.100000000000001" customHeight="1" x14ac:dyDescent="0.25">
      <c r="A420" s="206">
        <v>10</v>
      </c>
      <c r="B420" s="166" t="s">
        <v>168</v>
      </c>
      <c r="C420" s="942">
        <v>20</v>
      </c>
      <c r="D420" s="943">
        <v>90.198700000000002</v>
      </c>
      <c r="E420" s="1030">
        <v>128493</v>
      </c>
      <c r="F420" s="1030">
        <v>77095800</v>
      </c>
      <c r="G420" s="1004">
        <v>4554000</v>
      </c>
      <c r="H420" s="1030">
        <v>38</v>
      </c>
      <c r="I420" s="819">
        <f t="shared" si="44"/>
        <v>600</v>
      </c>
      <c r="J420" s="819">
        <v>550</v>
      </c>
      <c r="K420" s="819">
        <f t="shared" si="45"/>
        <v>35.441619387826577</v>
      </c>
    </row>
    <row r="421" spans="1:11" s="334" customFormat="1" ht="17.100000000000001" customHeight="1" x14ac:dyDescent="0.25">
      <c r="A421" s="206">
        <v>11</v>
      </c>
      <c r="B421" s="166" t="s">
        <v>46</v>
      </c>
      <c r="C421" s="942">
        <v>3</v>
      </c>
      <c r="D421" s="943">
        <v>132.81</v>
      </c>
      <c r="E421" s="1030">
        <v>0</v>
      </c>
      <c r="F421" s="1030">
        <v>0</v>
      </c>
      <c r="G421" s="1004">
        <v>0</v>
      </c>
      <c r="H421" s="1030">
        <v>0</v>
      </c>
      <c r="I421" s="819" t="e">
        <f t="shared" si="44"/>
        <v>#DIV/0!</v>
      </c>
      <c r="J421" s="819">
        <v>1340.0000036453487</v>
      </c>
      <c r="K421" s="819" t="e">
        <f t="shared" si="45"/>
        <v>#DIV/0!</v>
      </c>
    </row>
    <row r="422" spans="1:11" s="334" customFormat="1" ht="17.100000000000001" customHeight="1" x14ac:dyDescent="0.25">
      <c r="A422" s="206">
        <v>12</v>
      </c>
      <c r="B422" s="166" t="s">
        <v>169</v>
      </c>
      <c r="C422" s="942">
        <v>2</v>
      </c>
      <c r="D422" s="943">
        <v>54.987299999999998</v>
      </c>
      <c r="E422" s="1030">
        <v>750</v>
      </c>
      <c r="F422" s="1030">
        <v>637500</v>
      </c>
      <c r="G422" s="1004">
        <v>60000</v>
      </c>
      <c r="H422" s="1030">
        <v>40</v>
      </c>
      <c r="I422" s="819">
        <f t="shared" si="44"/>
        <v>850</v>
      </c>
      <c r="J422" s="819">
        <v>890</v>
      </c>
      <c r="K422" s="819">
        <f t="shared" si="45"/>
        <v>80</v>
      </c>
    </row>
    <row r="423" spans="1:11" s="334" customFormat="1" ht="17.100000000000001" customHeight="1" x14ac:dyDescent="0.25">
      <c r="A423" s="206"/>
      <c r="B423" s="63" t="s">
        <v>75</v>
      </c>
      <c r="C423" s="1030">
        <v>0</v>
      </c>
      <c r="D423" s="1030">
        <v>0</v>
      </c>
      <c r="E423" s="1030"/>
      <c r="F423" s="1030"/>
      <c r="G423" s="1004">
        <v>11000000</v>
      </c>
      <c r="H423" s="1030"/>
      <c r="I423" s="819"/>
      <c r="J423" s="819"/>
      <c r="K423" s="819"/>
    </row>
    <row r="424" spans="1:11" s="334" customFormat="1" ht="17.100000000000001" customHeight="1" x14ac:dyDescent="0.25">
      <c r="A424" s="206"/>
      <c r="B424" s="63" t="s">
        <v>49</v>
      </c>
      <c r="C424" s="1030">
        <v>0</v>
      </c>
      <c r="D424" s="1030">
        <v>0</v>
      </c>
      <c r="E424" s="1030"/>
      <c r="F424" s="1030"/>
      <c r="G424" s="1005">
        <v>285830000</v>
      </c>
      <c r="H424" s="1030"/>
      <c r="I424" s="819"/>
      <c r="J424" s="819"/>
      <c r="K424" s="819"/>
    </row>
    <row r="425" spans="1:11" s="334" customFormat="1" ht="17.100000000000001" customHeight="1" x14ac:dyDescent="0.25">
      <c r="A425" s="1182" t="s">
        <v>50</v>
      </c>
      <c r="B425" s="1183"/>
      <c r="C425" s="335">
        <f>SUM(C411:C424)</f>
        <v>439</v>
      </c>
      <c r="D425" s="335">
        <f t="shared" ref="D425:H425" si="47">SUM(D411:D424)</f>
        <v>912.22250000000008</v>
      </c>
      <c r="E425" s="371">
        <f>SUM(E411:E424)</f>
        <v>20372760</v>
      </c>
      <c r="F425" s="371">
        <f>SUM(F411:F424)</f>
        <v>4924044524</v>
      </c>
      <c r="G425" s="371">
        <f>SUM(G411:G424)</f>
        <v>1178481000</v>
      </c>
      <c r="H425" s="335">
        <f t="shared" si="47"/>
        <v>4295</v>
      </c>
      <c r="I425" s="819"/>
      <c r="J425" s="819"/>
      <c r="K425" s="819"/>
    </row>
    <row r="426" spans="1:11" s="334" customFormat="1" ht="17.100000000000001" customHeight="1" x14ac:dyDescent="0.25">
      <c r="A426" s="343"/>
      <c r="B426" s="349"/>
      <c r="C426" s="349"/>
      <c r="D426" s="350"/>
      <c r="E426" s="350"/>
      <c r="F426" s="351"/>
      <c r="G426" s="351"/>
      <c r="H426" s="347"/>
      <c r="I426" s="819"/>
      <c r="J426" s="819"/>
      <c r="K426" s="819"/>
    </row>
    <row r="427" spans="1:11" s="334" customFormat="1" ht="17.100000000000001" customHeight="1" x14ac:dyDescent="0.25">
      <c r="A427" s="1188" t="s">
        <v>118</v>
      </c>
      <c r="B427" s="1188"/>
      <c r="C427" s="1188"/>
      <c r="D427" s="1188"/>
      <c r="E427" s="1188"/>
      <c r="F427" s="1188"/>
      <c r="G427" s="1188"/>
      <c r="H427" s="1206"/>
      <c r="I427" s="819"/>
      <c r="J427" s="819"/>
      <c r="K427" s="819"/>
    </row>
    <row r="428" spans="1:11" s="334" customFormat="1" ht="17.100000000000001" customHeight="1" x14ac:dyDescent="0.25">
      <c r="A428" s="1184" t="s">
        <v>182</v>
      </c>
      <c r="B428" s="1184" t="s">
        <v>3</v>
      </c>
      <c r="C428" s="1184" t="s">
        <v>4</v>
      </c>
      <c r="D428" s="336" t="s">
        <v>5</v>
      </c>
      <c r="E428" s="337" t="s">
        <v>6</v>
      </c>
      <c r="F428" s="338" t="s">
        <v>7</v>
      </c>
      <c r="G428" s="338" t="s">
        <v>8</v>
      </c>
      <c r="H428" s="337" t="s">
        <v>9</v>
      </c>
      <c r="I428" s="819"/>
      <c r="J428" s="819"/>
      <c r="K428" s="819"/>
    </row>
    <row r="429" spans="1:11" s="334" customFormat="1" ht="17.100000000000001" customHeight="1" x14ac:dyDescent="0.25">
      <c r="A429" s="1185"/>
      <c r="B429" s="1185"/>
      <c r="C429" s="1185"/>
      <c r="D429" s="302" t="s">
        <v>380</v>
      </c>
      <c r="E429" s="339" t="s">
        <v>79</v>
      </c>
      <c r="F429" s="340" t="s">
        <v>632</v>
      </c>
      <c r="G429" s="340" t="s">
        <v>671</v>
      </c>
      <c r="H429" s="303" t="s">
        <v>13</v>
      </c>
      <c r="I429" s="819"/>
      <c r="J429" s="819"/>
      <c r="K429" s="819"/>
    </row>
    <row r="430" spans="1:11" s="334" customFormat="1" ht="17.100000000000001" customHeight="1" x14ac:dyDescent="0.25">
      <c r="A430" s="143">
        <v>1</v>
      </c>
      <c r="B430" s="63" t="s">
        <v>60</v>
      </c>
      <c r="C430" s="942">
        <v>98</v>
      </c>
      <c r="D430" s="942">
        <v>1317.71</v>
      </c>
      <c r="E430" s="1030">
        <v>4282588</v>
      </c>
      <c r="F430" s="942">
        <v>1498905937</v>
      </c>
      <c r="G430" s="1030">
        <v>466854000</v>
      </c>
      <c r="H430" s="1030">
        <v>599</v>
      </c>
      <c r="I430" s="819">
        <f t="shared" si="44"/>
        <v>350.0000319900023</v>
      </c>
      <c r="J430" s="819">
        <v>375.00000007974876</v>
      </c>
      <c r="K430" s="819">
        <f t="shared" si="45"/>
        <v>109.01212070831936</v>
      </c>
    </row>
    <row r="431" spans="1:11" s="334" customFormat="1" ht="17.100000000000001" customHeight="1" x14ac:dyDescent="0.25">
      <c r="A431" s="143">
        <f>+A430+1</f>
        <v>2</v>
      </c>
      <c r="B431" s="63" t="s">
        <v>69</v>
      </c>
      <c r="C431" s="942">
        <v>162</v>
      </c>
      <c r="D431" s="942">
        <v>166.92</v>
      </c>
      <c r="E431" s="1030">
        <v>2775069</v>
      </c>
      <c r="F431" s="1030">
        <v>346883707</v>
      </c>
      <c r="G431" s="1030">
        <v>128401000</v>
      </c>
      <c r="H431" s="1030">
        <v>625</v>
      </c>
      <c r="I431" s="819">
        <f t="shared" si="44"/>
        <v>125.00002954881482</v>
      </c>
      <c r="J431" s="819">
        <v>125.00000002876308</v>
      </c>
      <c r="K431" s="819">
        <f t="shared" si="45"/>
        <v>46.269480146259426</v>
      </c>
    </row>
    <row r="432" spans="1:11" s="334" customFormat="1" ht="17.100000000000001" customHeight="1" x14ac:dyDescent="0.25">
      <c r="A432" s="143">
        <v>3</v>
      </c>
      <c r="B432" s="63" t="s">
        <v>58</v>
      </c>
      <c r="C432" s="942">
        <v>20</v>
      </c>
      <c r="D432" s="942">
        <v>36.71</v>
      </c>
      <c r="E432" s="1030">
        <v>9606</v>
      </c>
      <c r="F432" s="1030">
        <v>20654082</v>
      </c>
      <c r="G432" s="1030">
        <v>4667000</v>
      </c>
      <c r="H432" s="1030">
        <v>24</v>
      </c>
      <c r="I432" s="819">
        <f t="shared" si="44"/>
        <v>2150.1230480949407</v>
      </c>
      <c r="J432" s="819">
        <v>2150.162494095418</v>
      </c>
      <c r="K432" s="819">
        <f t="shared" si="45"/>
        <v>485.84218196960234</v>
      </c>
    </row>
    <row r="433" spans="1:11" s="334" customFormat="1" ht="17.100000000000001" customHeight="1" x14ac:dyDescent="0.25">
      <c r="A433" s="143">
        <f>+A432+1</f>
        <v>4</v>
      </c>
      <c r="B433" s="63" t="s">
        <v>71</v>
      </c>
      <c r="C433" s="942">
        <v>61</v>
      </c>
      <c r="D433" s="942">
        <v>61</v>
      </c>
      <c r="E433" s="1030">
        <v>3839124</v>
      </c>
      <c r="F433" s="942">
        <v>2879343188</v>
      </c>
      <c r="G433" s="1030">
        <v>1342529000</v>
      </c>
      <c r="H433" s="1030">
        <v>10598</v>
      </c>
      <c r="I433" s="819">
        <f t="shared" si="44"/>
        <v>750.00004896950452</v>
      </c>
      <c r="J433" s="819">
        <v>720.00022683615646</v>
      </c>
      <c r="K433" s="819">
        <f t="shared" si="45"/>
        <v>349.69670164339573</v>
      </c>
    </row>
    <row r="434" spans="1:11" s="334" customFormat="1" ht="17.100000000000001" customHeight="1" x14ac:dyDescent="0.25">
      <c r="A434" s="143">
        <v>5</v>
      </c>
      <c r="B434" s="63" t="s">
        <v>63</v>
      </c>
      <c r="C434" s="942">
        <v>98</v>
      </c>
      <c r="D434" s="942">
        <v>98</v>
      </c>
      <c r="E434" s="1030">
        <v>1855916</v>
      </c>
      <c r="F434" s="1030">
        <v>380462823</v>
      </c>
      <c r="G434" s="1030">
        <v>7557000</v>
      </c>
      <c r="H434" s="1030">
        <v>410</v>
      </c>
      <c r="I434" s="819">
        <f t="shared" si="44"/>
        <v>205.00002316915206</v>
      </c>
      <c r="J434" s="819">
        <v>180.00011647992</v>
      </c>
      <c r="K434" s="819">
        <f t="shared" si="45"/>
        <v>4.0718437687912603</v>
      </c>
    </row>
    <row r="435" spans="1:11" s="334" customFormat="1" ht="17.100000000000001" customHeight="1" x14ac:dyDescent="0.25">
      <c r="A435" s="206">
        <v>6</v>
      </c>
      <c r="B435" s="63" t="s">
        <v>65</v>
      </c>
      <c r="C435" s="942">
        <v>3</v>
      </c>
      <c r="D435" s="942">
        <v>3</v>
      </c>
      <c r="E435" s="1030">
        <v>5459</v>
      </c>
      <c r="F435" s="942">
        <v>136486</v>
      </c>
      <c r="G435" s="1030">
        <v>128000</v>
      </c>
      <c r="H435" s="1030">
        <v>2</v>
      </c>
      <c r="I435" s="819">
        <v>25</v>
      </c>
      <c r="J435" s="819">
        <v>25.001798022175606</v>
      </c>
      <c r="K435" s="819">
        <f t="shared" si="45"/>
        <v>23.447517860413996</v>
      </c>
    </row>
    <row r="436" spans="1:11" s="334" customFormat="1" ht="17.100000000000001" customHeight="1" x14ac:dyDescent="0.25">
      <c r="A436" s="206">
        <v>7</v>
      </c>
      <c r="B436" s="63" t="s">
        <v>59</v>
      </c>
      <c r="C436" s="942">
        <v>4</v>
      </c>
      <c r="D436" s="942">
        <v>7297.96</v>
      </c>
      <c r="E436" s="1030">
        <v>468760</v>
      </c>
      <c r="F436" s="942">
        <v>164066136</v>
      </c>
      <c r="G436" s="1030">
        <v>43400000</v>
      </c>
      <c r="H436" s="1030">
        <v>35</v>
      </c>
      <c r="I436" s="819">
        <f t="shared" si="44"/>
        <v>350.00029012714396</v>
      </c>
      <c r="J436" s="819">
        <v>300.00017847908362</v>
      </c>
      <c r="K436" s="819">
        <f t="shared" si="45"/>
        <v>92.58469152658077</v>
      </c>
    </row>
    <row r="437" spans="1:11" s="334" customFormat="1" ht="17.100000000000001" customHeight="1" x14ac:dyDescent="0.25">
      <c r="A437" s="206">
        <v>8</v>
      </c>
      <c r="B437" s="63" t="s">
        <v>658</v>
      </c>
      <c r="C437" s="942">
        <v>7</v>
      </c>
      <c r="D437" s="942">
        <v>7.89</v>
      </c>
      <c r="E437" s="1030">
        <v>4667</v>
      </c>
      <c r="F437" s="942">
        <v>1166750</v>
      </c>
      <c r="G437" s="1030">
        <v>140000</v>
      </c>
      <c r="H437" s="1030">
        <v>15</v>
      </c>
      <c r="I437" s="819"/>
      <c r="J437" s="819"/>
      <c r="K437" s="819"/>
    </row>
    <row r="438" spans="1:11" s="334" customFormat="1" ht="17.100000000000001" customHeight="1" x14ac:dyDescent="0.25">
      <c r="A438" s="206"/>
      <c r="B438" s="63" t="s">
        <v>75</v>
      </c>
      <c r="C438" s="942">
        <v>0</v>
      </c>
      <c r="D438" s="942">
        <v>0</v>
      </c>
      <c r="E438" s="942"/>
      <c r="F438" s="942"/>
      <c r="G438" s="942">
        <v>76403000</v>
      </c>
      <c r="H438" s="942"/>
      <c r="I438" s="819"/>
      <c r="J438" s="819"/>
      <c r="K438" s="819"/>
    </row>
    <row r="439" spans="1:11" s="334" customFormat="1" ht="17.100000000000001" customHeight="1" x14ac:dyDescent="0.25">
      <c r="A439" s="206"/>
      <c r="B439" s="63" t="s">
        <v>49</v>
      </c>
      <c r="C439" s="942">
        <v>0</v>
      </c>
      <c r="D439" s="942">
        <v>0</v>
      </c>
      <c r="E439" s="942"/>
      <c r="F439" s="942"/>
      <c r="G439" s="942">
        <v>166068000</v>
      </c>
      <c r="H439" s="942"/>
      <c r="I439" s="819"/>
      <c r="J439" s="819"/>
      <c r="K439" s="819"/>
    </row>
    <row r="440" spans="1:11" s="334" customFormat="1" ht="17.100000000000001" customHeight="1" x14ac:dyDescent="0.25">
      <c r="A440" s="1182" t="s">
        <v>50</v>
      </c>
      <c r="B440" s="1183"/>
      <c r="C440" s="335">
        <f>SUM(C430:C439)</f>
        <v>453</v>
      </c>
      <c r="D440" s="335">
        <f t="shared" ref="D440:H440" si="48">SUM(D430:D439)</f>
        <v>8989.1899999999987</v>
      </c>
      <c r="E440" s="371">
        <f>SUM(E430:E439)</f>
        <v>13241189</v>
      </c>
      <c r="F440" s="335">
        <f>SUM(F430:F439)</f>
        <v>5291619109</v>
      </c>
      <c r="G440" s="371">
        <f>SUM(G430:G439)</f>
        <v>2236147000</v>
      </c>
      <c r="H440" s="335">
        <f t="shared" si="48"/>
        <v>12308</v>
      </c>
      <c r="I440" s="819"/>
      <c r="J440" s="819"/>
      <c r="K440" s="819"/>
    </row>
    <row r="441" spans="1:11" s="334" customFormat="1" ht="17.100000000000001" customHeight="1" x14ac:dyDescent="0.25">
      <c r="A441" s="353"/>
      <c r="B441" s="354"/>
      <c r="C441" s="354"/>
      <c r="D441" s="355"/>
      <c r="E441" s="355"/>
      <c r="F441" s="356"/>
      <c r="G441" s="351"/>
      <c r="H441" s="357"/>
      <c r="I441" s="819"/>
      <c r="J441" s="819"/>
      <c r="K441" s="819"/>
    </row>
    <row r="442" spans="1:11" s="387" customFormat="1" ht="17.100000000000001" customHeight="1" x14ac:dyDescent="0.25">
      <c r="A442" s="1189" t="s">
        <v>136</v>
      </c>
      <c r="B442" s="1189"/>
      <c r="C442" s="1189"/>
      <c r="D442" s="1189"/>
      <c r="E442" s="1189"/>
      <c r="F442" s="1189"/>
      <c r="G442" s="1189"/>
      <c r="H442" s="1189"/>
      <c r="I442" s="828"/>
      <c r="J442" s="819"/>
      <c r="K442" s="828"/>
    </row>
    <row r="443" spans="1:11" s="334" customFormat="1" ht="17.100000000000001" customHeight="1" x14ac:dyDescent="0.25">
      <c r="A443" s="1184" t="s">
        <v>182</v>
      </c>
      <c r="B443" s="1184" t="s">
        <v>3</v>
      </c>
      <c r="C443" s="1184" t="s">
        <v>4</v>
      </c>
      <c r="D443" s="336" t="s">
        <v>5</v>
      </c>
      <c r="E443" s="337" t="s">
        <v>6</v>
      </c>
      <c r="F443" s="338" t="s">
        <v>7</v>
      </c>
      <c r="G443" s="338" t="s">
        <v>8</v>
      </c>
      <c r="H443" s="337" t="s">
        <v>9</v>
      </c>
      <c r="I443" s="819"/>
      <c r="J443" s="819"/>
      <c r="K443" s="819"/>
    </row>
    <row r="444" spans="1:11" s="334" customFormat="1" ht="17.100000000000001" customHeight="1" x14ac:dyDescent="0.25">
      <c r="A444" s="1185"/>
      <c r="B444" s="1185"/>
      <c r="C444" s="1185"/>
      <c r="D444" s="302" t="s">
        <v>380</v>
      </c>
      <c r="E444" s="339" t="s">
        <v>79</v>
      </c>
      <c r="F444" s="340" t="s">
        <v>632</v>
      </c>
      <c r="G444" s="340" t="s">
        <v>671</v>
      </c>
      <c r="H444" s="303" t="s">
        <v>13</v>
      </c>
      <c r="I444" s="819"/>
      <c r="J444" s="819"/>
      <c r="K444" s="819"/>
    </row>
    <row r="445" spans="1:11" s="334" customFormat="1" ht="17.100000000000001" customHeight="1" x14ac:dyDescent="0.25">
      <c r="A445" s="206">
        <v>1</v>
      </c>
      <c r="B445" s="63" t="s">
        <v>71</v>
      </c>
      <c r="C445" s="942">
        <v>98</v>
      </c>
      <c r="D445" s="942">
        <v>2402.69</v>
      </c>
      <c r="E445" s="942">
        <v>419479</v>
      </c>
      <c r="F445" s="942">
        <v>188765550</v>
      </c>
      <c r="G445" s="942">
        <v>8141938</v>
      </c>
      <c r="H445" s="942">
        <v>34</v>
      </c>
      <c r="I445" s="819">
        <f t="shared" si="44"/>
        <v>450</v>
      </c>
      <c r="J445" s="819">
        <v>750</v>
      </c>
      <c r="K445" s="819">
        <f t="shared" si="45"/>
        <v>19.409643867750233</v>
      </c>
    </row>
    <row r="446" spans="1:11" s="334" customFormat="1" ht="17.100000000000001" customHeight="1" x14ac:dyDescent="0.25">
      <c r="A446" s="143">
        <v>2</v>
      </c>
      <c r="B446" s="63" t="s">
        <v>201</v>
      </c>
      <c r="C446" s="942">
        <v>2</v>
      </c>
      <c r="D446" s="942">
        <v>6.23</v>
      </c>
      <c r="E446" s="942">
        <v>0</v>
      </c>
      <c r="F446" s="942">
        <v>0</v>
      </c>
      <c r="G446" s="942">
        <v>0</v>
      </c>
      <c r="H446" s="942">
        <v>0</v>
      </c>
      <c r="I446" s="819" t="e">
        <f t="shared" si="44"/>
        <v>#DIV/0!</v>
      </c>
      <c r="J446" s="819">
        <v>250</v>
      </c>
      <c r="K446" s="819" t="e">
        <f t="shared" si="45"/>
        <v>#DIV/0!</v>
      </c>
    </row>
    <row r="447" spans="1:11" s="334" customFormat="1" ht="17.100000000000001" customHeight="1" x14ac:dyDescent="0.25">
      <c r="A447" s="206">
        <v>3</v>
      </c>
      <c r="B447" s="63" t="s">
        <v>63</v>
      </c>
      <c r="C447" s="942">
        <v>96</v>
      </c>
      <c r="D447" s="942">
        <v>207.6</v>
      </c>
      <c r="E447" s="942">
        <v>648732</v>
      </c>
      <c r="F447" s="942">
        <v>116771760</v>
      </c>
      <c r="G447" s="942">
        <v>19461960</v>
      </c>
      <c r="H447" s="942">
        <v>150</v>
      </c>
      <c r="I447" s="819">
        <f t="shared" si="44"/>
        <v>180</v>
      </c>
      <c r="J447" s="819">
        <v>180</v>
      </c>
      <c r="K447" s="819">
        <f t="shared" si="45"/>
        <v>30</v>
      </c>
    </row>
    <row r="448" spans="1:11" s="334" customFormat="1" ht="17.100000000000001" customHeight="1" x14ac:dyDescent="0.25">
      <c r="A448" s="143">
        <v>4</v>
      </c>
      <c r="B448" s="63" t="s">
        <v>202</v>
      </c>
      <c r="C448" s="942">
        <v>1</v>
      </c>
      <c r="D448" s="942">
        <v>1.39</v>
      </c>
      <c r="E448" s="942">
        <v>0</v>
      </c>
      <c r="F448" s="942">
        <v>0</v>
      </c>
      <c r="G448" s="942">
        <v>0</v>
      </c>
      <c r="H448" s="942">
        <v>0</v>
      </c>
      <c r="I448" s="819" t="e">
        <f t="shared" si="44"/>
        <v>#DIV/0!</v>
      </c>
      <c r="J448" s="819" t="e">
        <v>#DIV/0!</v>
      </c>
      <c r="K448" s="819" t="e">
        <f t="shared" si="45"/>
        <v>#DIV/0!</v>
      </c>
    </row>
    <row r="449" spans="1:11" s="334" customFormat="1" ht="17.100000000000001" customHeight="1" x14ac:dyDescent="0.25">
      <c r="A449" s="206">
        <v>5</v>
      </c>
      <c r="B449" s="63" t="s">
        <v>58</v>
      </c>
      <c r="C449" s="942">
        <v>1</v>
      </c>
      <c r="D449" s="942">
        <v>1</v>
      </c>
      <c r="E449" s="942">
        <v>0</v>
      </c>
      <c r="F449" s="942">
        <v>0</v>
      </c>
      <c r="G449" s="942">
        <v>0</v>
      </c>
      <c r="H449" s="942">
        <v>0</v>
      </c>
      <c r="I449" s="819" t="e">
        <f t="shared" si="44"/>
        <v>#DIV/0!</v>
      </c>
      <c r="J449" s="819" t="e">
        <v>#DIV/0!</v>
      </c>
      <c r="K449" s="819" t="e">
        <f t="shared" si="45"/>
        <v>#DIV/0!</v>
      </c>
    </row>
    <row r="450" spans="1:11" s="334" customFormat="1" ht="17.100000000000001" customHeight="1" x14ac:dyDescent="0.25">
      <c r="A450" s="143">
        <v>6</v>
      </c>
      <c r="B450" s="63" t="s">
        <v>59</v>
      </c>
      <c r="C450" s="942">
        <v>0</v>
      </c>
      <c r="D450" s="942">
        <v>0</v>
      </c>
      <c r="E450" s="942"/>
      <c r="F450" s="942"/>
      <c r="G450" s="942"/>
      <c r="H450" s="942"/>
      <c r="I450" s="819">
        <v>290</v>
      </c>
      <c r="J450" s="819">
        <v>290</v>
      </c>
      <c r="K450" s="819" t="e">
        <f t="shared" si="45"/>
        <v>#DIV/0!</v>
      </c>
    </row>
    <row r="451" spans="1:11" s="334" customFormat="1" ht="17.100000000000001" customHeight="1" x14ac:dyDescent="0.25">
      <c r="A451" s="206">
        <v>7</v>
      </c>
      <c r="B451" s="63" t="s">
        <v>390</v>
      </c>
      <c r="C451" s="942">
        <v>38</v>
      </c>
      <c r="D451" s="942">
        <v>635.41</v>
      </c>
      <c r="E451" s="942">
        <v>315509</v>
      </c>
      <c r="F451" s="942">
        <v>189305400</v>
      </c>
      <c r="G451" s="942">
        <v>329297191</v>
      </c>
      <c r="H451" s="942">
        <v>140</v>
      </c>
      <c r="I451" s="819">
        <f t="shared" si="44"/>
        <v>600</v>
      </c>
      <c r="J451" s="819">
        <v>600</v>
      </c>
      <c r="K451" s="819">
        <f t="shared" si="45"/>
        <v>1043.7014189769548</v>
      </c>
    </row>
    <row r="452" spans="1:11" s="334" customFormat="1" ht="17.100000000000001" customHeight="1" x14ac:dyDescent="0.25">
      <c r="A452" s="143">
        <v>8</v>
      </c>
      <c r="B452" s="63" t="s">
        <v>65</v>
      </c>
      <c r="C452" s="942">
        <v>0</v>
      </c>
      <c r="D452" s="942">
        <v>0</v>
      </c>
      <c r="E452" s="942"/>
      <c r="F452" s="942"/>
      <c r="G452" s="942"/>
      <c r="H452" s="942"/>
      <c r="I452" s="819" t="e">
        <f t="shared" si="44"/>
        <v>#DIV/0!</v>
      </c>
      <c r="J452" s="819">
        <v>25</v>
      </c>
      <c r="K452" s="819" t="e">
        <f t="shared" si="45"/>
        <v>#DIV/0!</v>
      </c>
    </row>
    <row r="453" spans="1:11" s="334" customFormat="1" ht="17.100000000000001" customHeight="1" x14ac:dyDescent="0.25">
      <c r="A453" s="206">
        <v>9</v>
      </c>
      <c r="B453" s="63" t="s">
        <v>54</v>
      </c>
      <c r="C453" s="942">
        <v>15</v>
      </c>
      <c r="D453" s="942">
        <v>35</v>
      </c>
      <c r="E453" s="942">
        <v>0</v>
      </c>
      <c r="F453" s="942">
        <v>0</v>
      </c>
      <c r="G453" s="942">
        <v>0</v>
      </c>
      <c r="H453" s="942">
        <v>0</v>
      </c>
      <c r="I453" s="819" t="e">
        <f t="shared" si="44"/>
        <v>#DIV/0!</v>
      </c>
      <c r="J453" s="819">
        <v>220.00000647125685</v>
      </c>
      <c r="K453" s="819" t="e">
        <f t="shared" si="45"/>
        <v>#DIV/0!</v>
      </c>
    </row>
    <row r="454" spans="1:11" s="334" customFormat="1" ht="17.100000000000001" customHeight="1" x14ac:dyDescent="0.25">
      <c r="A454" s="143">
        <v>10</v>
      </c>
      <c r="B454" s="274" t="s">
        <v>387</v>
      </c>
      <c r="C454" s="942">
        <v>13</v>
      </c>
      <c r="D454" s="942">
        <v>62</v>
      </c>
      <c r="E454" s="942">
        <v>83442</v>
      </c>
      <c r="F454" s="942">
        <v>25032600</v>
      </c>
      <c r="G454" s="942">
        <v>2275513</v>
      </c>
      <c r="H454" s="942">
        <v>25</v>
      </c>
      <c r="I454" s="819">
        <f t="shared" si="44"/>
        <v>300</v>
      </c>
      <c r="J454" s="819">
        <v>750</v>
      </c>
      <c r="K454" s="819">
        <f t="shared" si="45"/>
        <v>27.270595143932312</v>
      </c>
    </row>
    <row r="455" spans="1:11" s="334" customFormat="1" ht="17.100000000000001" customHeight="1" x14ac:dyDescent="0.25">
      <c r="A455" s="206">
        <v>11</v>
      </c>
      <c r="B455" s="274" t="s">
        <v>46</v>
      </c>
      <c r="C455" s="942">
        <v>7</v>
      </c>
      <c r="D455" s="942">
        <v>268.73</v>
      </c>
      <c r="E455" s="1030">
        <v>19200</v>
      </c>
      <c r="F455" s="942">
        <v>26846400</v>
      </c>
      <c r="G455" s="1030">
        <v>1913703</v>
      </c>
      <c r="H455" s="1030">
        <v>20</v>
      </c>
      <c r="I455" s="819">
        <f t="shared" si="44"/>
        <v>1398.25</v>
      </c>
      <c r="J455" s="819">
        <v>1350</v>
      </c>
      <c r="K455" s="819">
        <f t="shared" si="45"/>
        <v>99.672031250000003</v>
      </c>
    </row>
    <row r="456" spans="1:11" s="334" customFormat="1" ht="17.100000000000001" customHeight="1" x14ac:dyDescent="0.25">
      <c r="A456" s="206"/>
      <c r="B456" s="63" t="s">
        <v>75</v>
      </c>
      <c r="C456" s="942">
        <v>0</v>
      </c>
      <c r="D456" s="942">
        <v>0</v>
      </c>
      <c r="E456" s="942"/>
      <c r="F456" s="942"/>
      <c r="G456" s="1030">
        <v>18682377</v>
      </c>
      <c r="H456" s="1030"/>
      <c r="I456" s="819"/>
      <c r="J456" s="819"/>
      <c r="K456" s="819"/>
    </row>
    <row r="457" spans="1:11" s="334" customFormat="1" ht="17.100000000000001" customHeight="1" x14ac:dyDescent="0.25">
      <c r="A457" s="206"/>
      <c r="B457" s="63" t="s">
        <v>49</v>
      </c>
      <c r="C457" s="942">
        <v>0</v>
      </c>
      <c r="D457" s="942">
        <v>0</v>
      </c>
      <c r="E457" s="942"/>
      <c r="F457" s="942"/>
      <c r="G457" s="1030">
        <v>56879819</v>
      </c>
      <c r="H457" s="1030"/>
      <c r="I457" s="819"/>
      <c r="J457" s="819"/>
      <c r="K457" s="819"/>
    </row>
    <row r="458" spans="1:11" s="334" customFormat="1" ht="17.100000000000001" customHeight="1" x14ac:dyDescent="0.25">
      <c r="A458" s="1182" t="s">
        <v>50</v>
      </c>
      <c r="B458" s="1183"/>
      <c r="C458" s="945">
        <f>SUM(C445:C457)</f>
        <v>271</v>
      </c>
      <c r="D458" s="945">
        <f t="shared" ref="D458:H458" si="49">SUM(D445:D457)</f>
        <v>3620.0499999999997</v>
      </c>
      <c r="E458" s="945">
        <f t="shared" si="49"/>
        <v>1486362</v>
      </c>
      <c r="F458" s="945">
        <f>SUM(F445:F457)</f>
        <v>546721710</v>
      </c>
      <c r="G458" s="946">
        <f>SUM(G445:G457)</f>
        <v>436652501</v>
      </c>
      <c r="H458" s="945">
        <f t="shared" si="49"/>
        <v>369</v>
      </c>
      <c r="I458" s="819"/>
      <c r="J458" s="819"/>
      <c r="K458" s="819"/>
    </row>
    <row r="459" spans="1:11" s="334" customFormat="1" ht="17.100000000000001" customHeight="1" x14ac:dyDescent="0.25">
      <c r="A459" s="353"/>
      <c r="B459" s="354"/>
      <c r="C459" s="354"/>
      <c r="D459" s="355"/>
      <c r="E459" s="355"/>
      <c r="F459" s="356"/>
      <c r="G459" s="356"/>
      <c r="H459" s="357"/>
      <c r="I459" s="819"/>
      <c r="J459" s="819"/>
      <c r="K459" s="819"/>
    </row>
    <row r="460" spans="1:11" s="334" customFormat="1" ht="17.100000000000001" customHeight="1" x14ac:dyDescent="0.25">
      <c r="A460" s="1188" t="s">
        <v>119</v>
      </c>
      <c r="B460" s="1188"/>
      <c r="C460" s="1188"/>
      <c r="D460" s="1188"/>
      <c r="E460" s="1188"/>
      <c r="F460" s="1188"/>
      <c r="G460" s="1188"/>
      <c r="H460" s="1188"/>
      <c r="I460" s="819"/>
      <c r="J460" s="819"/>
      <c r="K460" s="819"/>
    </row>
    <row r="461" spans="1:11" s="334" customFormat="1" ht="17.100000000000001" customHeight="1" x14ac:dyDescent="0.25">
      <c r="A461" s="1184" t="s">
        <v>182</v>
      </c>
      <c r="B461" s="1184" t="s">
        <v>3</v>
      </c>
      <c r="C461" s="1184" t="s">
        <v>4</v>
      </c>
      <c r="D461" s="336" t="s">
        <v>5</v>
      </c>
      <c r="E461" s="337" t="s">
        <v>6</v>
      </c>
      <c r="F461" s="338" t="s">
        <v>7</v>
      </c>
      <c r="G461" s="338" t="s">
        <v>8</v>
      </c>
      <c r="H461" s="337" t="s">
        <v>9</v>
      </c>
      <c r="I461" s="819"/>
      <c r="J461" s="819"/>
      <c r="K461" s="819"/>
    </row>
    <row r="462" spans="1:11" s="334" customFormat="1" ht="17.100000000000001" customHeight="1" x14ac:dyDescent="0.25">
      <c r="A462" s="1185"/>
      <c r="B462" s="1185"/>
      <c r="C462" s="1185"/>
      <c r="D462" s="302" t="s">
        <v>380</v>
      </c>
      <c r="E462" s="339" t="s">
        <v>79</v>
      </c>
      <c r="F462" s="340" t="s">
        <v>632</v>
      </c>
      <c r="G462" s="340" t="s">
        <v>671</v>
      </c>
      <c r="H462" s="303" t="s">
        <v>13</v>
      </c>
      <c r="I462" s="819"/>
      <c r="J462" s="819"/>
      <c r="K462" s="819"/>
    </row>
    <row r="463" spans="1:11" s="334" customFormat="1" ht="17.100000000000001" customHeight="1" x14ac:dyDescent="0.25">
      <c r="A463" s="143">
        <v>1</v>
      </c>
      <c r="B463" s="63" t="s">
        <v>71</v>
      </c>
      <c r="C463" s="974">
        <v>6</v>
      </c>
      <c r="D463" s="974">
        <v>10</v>
      </c>
      <c r="E463" s="974">
        <f>35329+7955</f>
        <v>43284</v>
      </c>
      <c r="F463" s="974">
        <f>26497068+5966850</f>
        <v>32463918</v>
      </c>
      <c r="G463" s="974">
        <f>2826354+327850</f>
        <v>3154204</v>
      </c>
      <c r="H463" s="974">
        <v>14</v>
      </c>
      <c r="I463" s="819">
        <f t="shared" ref="I463:I519" si="50">F463/E463</f>
        <v>750.02120876074298</v>
      </c>
      <c r="J463" s="819">
        <v>750.00004357082048</v>
      </c>
      <c r="K463" s="819">
        <f t="shared" si="45"/>
        <v>72.87228537103779</v>
      </c>
    </row>
    <row r="464" spans="1:11" s="334" customFormat="1" ht="17.100000000000001" customHeight="1" x14ac:dyDescent="0.25">
      <c r="A464" s="143">
        <v>2</v>
      </c>
      <c r="B464" s="63" t="s">
        <v>63</v>
      </c>
      <c r="C464" s="974">
        <v>78</v>
      </c>
      <c r="D464" s="975">
        <v>78.599999999999994</v>
      </c>
      <c r="E464" s="1030">
        <v>2057420</v>
      </c>
      <c r="F464" s="1030">
        <v>432058300</v>
      </c>
      <c r="G464" s="1030">
        <v>195302894</v>
      </c>
      <c r="H464" s="1030">
        <v>234</v>
      </c>
      <c r="I464" s="819">
        <v>195</v>
      </c>
      <c r="J464" s="819">
        <v>180.00002132751879</v>
      </c>
      <c r="K464" s="819">
        <f t="shared" ref="K464:K529" si="51">G464/E464</f>
        <v>94.926118147971735</v>
      </c>
    </row>
    <row r="465" spans="1:11" s="334" customFormat="1" ht="17.100000000000001" customHeight="1" x14ac:dyDescent="0.25">
      <c r="A465" s="143">
        <v>3</v>
      </c>
      <c r="B465" s="63" t="s">
        <v>60</v>
      </c>
      <c r="C465" s="974">
        <v>5</v>
      </c>
      <c r="D465" s="975">
        <v>9.52</v>
      </c>
      <c r="E465" s="1030">
        <v>1836</v>
      </c>
      <c r="F465" s="1030">
        <v>642857</v>
      </c>
      <c r="G465" s="1030">
        <v>180000</v>
      </c>
      <c r="H465" s="1030">
        <v>10</v>
      </c>
      <c r="I465" s="819">
        <f t="shared" si="50"/>
        <v>350.13997821350762</v>
      </c>
      <c r="J465" s="819">
        <v>359.9999920945815</v>
      </c>
      <c r="K465" s="819">
        <f t="shared" si="51"/>
        <v>98.039215686274517</v>
      </c>
    </row>
    <row r="466" spans="1:11" s="334" customFormat="1" ht="17.100000000000001" customHeight="1" x14ac:dyDescent="0.25">
      <c r="A466" s="143">
        <v>4</v>
      </c>
      <c r="B466" s="63" t="s">
        <v>61</v>
      </c>
      <c r="C466" s="974">
        <v>2</v>
      </c>
      <c r="D466" s="975">
        <v>2</v>
      </c>
      <c r="E466" s="1030"/>
      <c r="F466" s="1030"/>
      <c r="G466" s="1030"/>
      <c r="H466" s="1030"/>
      <c r="I466" s="819" t="e">
        <f t="shared" si="50"/>
        <v>#DIV/0!</v>
      </c>
      <c r="J466" s="819" t="e">
        <v>#DIV/0!</v>
      </c>
      <c r="K466" s="819" t="e">
        <f t="shared" si="51"/>
        <v>#DIV/0!</v>
      </c>
    </row>
    <row r="467" spans="1:11" s="334" customFormat="1" ht="17.100000000000001" customHeight="1" x14ac:dyDescent="0.25">
      <c r="A467" s="143">
        <v>5</v>
      </c>
      <c r="B467" s="63" t="s">
        <v>59</v>
      </c>
      <c r="C467" s="942">
        <v>1</v>
      </c>
      <c r="D467" s="942">
        <v>141.44999999999999</v>
      </c>
      <c r="E467" s="1030">
        <v>252668</v>
      </c>
      <c r="F467" s="1030">
        <v>138967876</v>
      </c>
      <c r="G467" s="1030">
        <v>11370099</v>
      </c>
      <c r="H467" s="1030">
        <v>150</v>
      </c>
      <c r="I467" s="819">
        <v>290</v>
      </c>
      <c r="J467" s="819">
        <v>300</v>
      </c>
      <c r="K467" s="819">
        <f t="shared" si="51"/>
        <v>45.000154352747479</v>
      </c>
    </row>
    <row r="468" spans="1:11" s="334" customFormat="1" ht="17.100000000000001" customHeight="1" x14ac:dyDescent="0.25">
      <c r="A468" s="143">
        <v>6</v>
      </c>
      <c r="B468" s="63" t="s">
        <v>65</v>
      </c>
      <c r="C468" s="942">
        <v>0</v>
      </c>
      <c r="D468" s="943">
        <v>0</v>
      </c>
      <c r="E468" s="1030">
        <v>11394096</v>
      </c>
      <c r="F468" s="1030">
        <v>284852400</v>
      </c>
      <c r="G468" s="1030">
        <v>60655652</v>
      </c>
      <c r="H468" s="1030">
        <v>250</v>
      </c>
      <c r="I468" s="819">
        <v>25</v>
      </c>
      <c r="J468" s="819">
        <v>25</v>
      </c>
      <c r="K468" s="819">
        <f t="shared" si="51"/>
        <v>5.323428203518735</v>
      </c>
    </row>
    <row r="469" spans="1:11" s="334" customFormat="1" ht="17.100000000000001" customHeight="1" x14ac:dyDescent="0.25">
      <c r="A469" s="143">
        <v>7</v>
      </c>
      <c r="B469" s="63" t="s">
        <v>203</v>
      </c>
      <c r="C469" s="942">
        <v>0</v>
      </c>
      <c r="D469" s="942">
        <v>0</v>
      </c>
      <c r="E469" s="942"/>
      <c r="F469" s="942"/>
      <c r="G469" s="942"/>
      <c r="H469" s="942"/>
      <c r="I469" s="819"/>
      <c r="J469" s="819"/>
      <c r="K469" s="819"/>
    </row>
    <row r="470" spans="1:11" s="334" customFormat="1" ht="17.100000000000001" customHeight="1" x14ac:dyDescent="0.25">
      <c r="A470" s="143"/>
      <c r="B470" s="63" t="s">
        <v>75</v>
      </c>
      <c r="C470" s="942">
        <v>0</v>
      </c>
      <c r="D470" s="942">
        <v>0</v>
      </c>
      <c r="E470" s="942"/>
      <c r="F470" s="942"/>
      <c r="G470" s="1030">
        <v>0</v>
      </c>
      <c r="H470" s="1030"/>
      <c r="I470" s="819"/>
      <c r="J470" s="819"/>
      <c r="K470" s="819"/>
    </row>
    <row r="471" spans="1:11" s="334" customFormat="1" ht="17.100000000000001" customHeight="1" x14ac:dyDescent="0.25">
      <c r="A471" s="143"/>
      <c r="B471" s="63" t="s">
        <v>49</v>
      </c>
      <c r="C471" s="942">
        <v>0</v>
      </c>
      <c r="D471" s="942">
        <v>0</v>
      </c>
      <c r="E471" s="942"/>
      <c r="F471" s="942"/>
      <c r="G471" s="1030">
        <v>60408300</v>
      </c>
      <c r="H471" s="1030"/>
      <c r="I471" s="819"/>
      <c r="J471" s="819"/>
      <c r="K471" s="819"/>
    </row>
    <row r="472" spans="1:11" s="334" customFormat="1" ht="17.100000000000001" customHeight="1" x14ac:dyDescent="0.25">
      <c r="A472" s="1182" t="s">
        <v>50</v>
      </c>
      <c r="B472" s="1183"/>
      <c r="C472" s="335">
        <f>SUM(C463:C471)</f>
        <v>92</v>
      </c>
      <c r="D472" s="335">
        <f t="shared" ref="D472:H472" si="52">SUM(D463:D471)</f>
        <v>241.57</v>
      </c>
      <c r="E472" s="335">
        <f t="shared" si="52"/>
        <v>13749304</v>
      </c>
      <c r="F472" s="335">
        <f t="shared" si="52"/>
        <v>888985351</v>
      </c>
      <c r="G472" s="335">
        <f t="shared" si="52"/>
        <v>331071149</v>
      </c>
      <c r="H472" s="335">
        <f t="shared" si="52"/>
        <v>658</v>
      </c>
      <c r="I472" s="819"/>
      <c r="J472" s="819"/>
      <c r="K472" s="819"/>
    </row>
    <row r="473" spans="1:11" s="334" customFormat="1" ht="17.100000000000001" customHeight="1" x14ac:dyDescent="0.25">
      <c r="A473" s="343"/>
      <c r="B473" s="344"/>
      <c r="C473" s="344"/>
      <c r="D473" s="345"/>
      <c r="E473" s="345"/>
      <c r="F473" s="346"/>
      <c r="G473" s="346"/>
      <c r="H473" s="347"/>
      <c r="I473" s="819"/>
      <c r="J473" s="819"/>
      <c r="K473" s="819"/>
    </row>
    <row r="474" spans="1:11" s="387" customFormat="1" ht="17.100000000000001" customHeight="1" x14ac:dyDescent="0.25">
      <c r="A474" s="1189" t="s">
        <v>88</v>
      </c>
      <c r="B474" s="1189"/>
      <c r="C474" s="1189"/>
      <c r="D474" s="1189"/>
      <c r="E474" s="1189"/>
      <c r="F474" s="1189"/>
      <c r="G474" s="1189"/>
      <c r="H474" s="1189"/>
      <c r="I474" s="828"/>
      <c r="J474" s="819"/>
      <c r="K474" s="828"/>
    </row>
    <row r="475" spans="1:11" s="334" customFormat="1" ht="17.100000000000001" customHeight="1" x14ac:dyDescent="0.25">
      <c r="A475" s="1184" t="s">
        <v>182</v>
      </c>
      <c r="B475" s="1184" t="s">
        <v>3</v>
      </c>
      <c r="C475" s="1184" t="s">
        <v>4</v>
      </c>
      <c r="D475" s="336" t="s">
        <v>5</v>
      </c>
      <c r="E475" s="337" t="s">
        <v>6</v>
      </c>
      <c r="F475" s="338" t="s">
        <v>7</v>
      </c>
      <c r="G475" s="338" t="s">
        <v>8</v>
      </c>
      <c r="H475" s="337" t="s">
        <v>9</v>
      </c>
      <c r="I475" s="819"/>
      <c r="J475" s="819"/>
      <c r="K475" s="819"/>
    </row>
    <row r="476" spans="1:11" s="334" customFormat="1" ht="17.100000000000001" customHeight="1" x14ac:dyDescent="0.25">
      <c r="A476" s="1185"/>
      <c r="B476" s="1185"/>
      <c r="C476" s="1185"/>
      <c r="D476" s="302" t="s">
        <v>380</v>
      </c>
      <c r="E476" s="339" t="s">
        <v>79</v>
      </c>
      <c r="F476" s="340" t="s">
        <v>632</v>
      </c>
      <c r="G476" s="340" t="s">
        <v>671</v>
      </c>
      <c r="H476" s="303" t="s">
        <v>13</v>
      </c>
      <c r="I476" s="819"/>
      <c r="J476" s="819"/>
      <c r="K476" s="819"/>
    </row>
    <row r="477" spans="1:11" s="334" customFormat="1" ht="17.100000000000001" customHeight="1" x14ac:dyDescent="0.25">
      <c r="A477" s="206">
        <v>1</v>
      </c>
      <c r="B477" s="63" t="s">
        <v>63</v>
      </c>
      <c r="C477" s="942">
        <v>236</v>
      </c>
      <c r="D477" s="942">
        <v>238.09</v>
      </c>
      <c r="E477" s="1030">
        <v>6963277</v>
      </c>
      <c r="F477" s="977">
        <v>1427471807</v>
      </c>
      <c r="G477" s="1030">
        <v>300988154</v>
      </c>
      <c r="H477" s="1030">
        <v>700</v>
      </c>
      <c r="I477" s="819">
        <f t="shared" si="50"/>
        <v>205.00000315943197</v>
      </c>
      <c r="J477" s="819">
        <v>185.00001445087207</v>
      </c>
      <c r="K477" s="819">
        <f t="shared" si="51"/>
        <v>43.225072620261983</v>
      </c>
    </row>
    <row r="478" spans="1:11" s="334" customFormat="1" ht="17.100000000000001" customHeight="1" x14ac:dyDescent="0.25">
      <c r="A478" s="143">
        <v>2</v>
      </c>
      <c r="B478" s="63" t="s">
        <v>144</v>
      </c>
      <c r="C478" s="942">
        <v>5</v>
      </c>
      <c r="D478" s="976">
        <v>119.01</v>
      </c>
      <c r="E478" s="1030">
        <v>48726</v>
      </c>
      <c r="F478" s="942">
        <v>56035943</v>
      </c>
      <c r="G478" s="1030">
        <v>60252606</v>
      </c>
      <c r="H478" s="1030">
        <v>35</v>
      </c>
      <c r="I478" s="819">
        <v>1150</v>
      </c>
      <c r="J478" s="819">
        <v>1200</v>
      </c>
      <c r="K478" s="819">
        <f t="shared" si="51"/>
        <v>1236.5596601403768</v>
      </c>
    </row>
    <row r="479" spans="1:11" s="334" customFormat="1" ht="17.100000000000001" customHeight="1" x14ac:dyDescent="0.25">
      <c r="A479" s="206">
        <v>3</v>
      </c>
      <c r="B479" s="63" t="s">
        <v>62</v>
      </c>
      <c r="C479" s="942">
        <v>11</v>
      </c>
      <c r="D479" s="943">
        <v>17.46</v>
      </c>
      <c r="E479" s="1030">
        <v>105391</v>
      </c>
      <c r="F479" s="942">
        <v>194973701</v>
      </c>
      <c r="G479" s="1030">
        <v>16297687</v>
      </c>
      <c r="H479" s="1030">
        <v>40</v>
      </c>
      <c r="I479" s="819">
        <v>1850</v>
      </c>
      <c r="J479" s="819">
        <v>1850.0207537444667</v>
      </c>
      <c r="K479" s="819">
        <f t="shared" si="51"/>
        <v>154.64021595771936</v>
      </c>
    </row>
    <row r="480" spans="1:11" s="334" customFormat="1" ht="17.100000000000001" customHeight="1" x14ac:dyDescent="0.25">
      <c r="A480" s="206">
        <v>4</v>
      </c>
      <c r="B480" s="63" t="s">
        <v>65</v>
      </c>
      <c r="C480" s="942">
        <v>0</v>
      </c>
      <c r="D480" s="942">
        <v>0</v>
      </c>
      <c r="E480" s="991">
        <v>2095</v>
      </c>
      <c r="F480" s="991">
        <v>73325</v>
      </c>
      <c r="G480" s="1030">
        <v>1143150</v>
      </c>
      <c r="H480" s="1030">
        <v>10</v>
      </c>
      <c r="I480" s="819">
        <v>25</v>
      </c>
      <c r="J480" s="819">
        <v>20</v>
      </c>
      <c r="K480" s="819">
        <f t="shared" si="51"/>
        <v>545.65632458233893</v>
      </c>
    </row>
    <row r="481" spans="1:11" s="334" customFormat="1" ht="17.100000000000001" customHeight="1" x14ac:dyDescent="0.25">
      <c r="A481" s="143">
        <v>5</v>
      </c>
      <c r="B481" s="63" t="s">
        <v>73</v>
      </c>
      <c r="C481" s="942">
        <v>9</v>
      </c>
      <c r="D481" s="942">
        <v>26.99</v>
      </c>
      <c r="E481" s="1030">
        <v>656</v>
      </c>
      <c r="F481" s="1030">
        <v>1313060</v>
      </c>
      <c r="G481" s="1030">
        <v>443218</v>
      </c>
      <c r="H481" s="1030">
        <v>10</v>
      </c>
      <c r="I481" s="819">
        <f t="shared" si="50"/>
        <v>2001.6158536585365</v>
      </c>
      <c r="J481" s="819">
        <v>2000</v>
      </c>
      <c r="K481" s="819">
        <f t="shared" si="51"/>
        <v>675.63719512195121</v>
      </c>
    </row>
    <row r="482" spans="1:11" s="334" customFormat="1" ht="17.100000000000001" customHeight="1" x14ac:dyDescent="0.25">
      <c r="A482" s="206">
        <v>6</v>
      </c>
      <c r="B482" s="63" t="s">
        <v>54</v>
      </c>
      <c r="C482" s="942">
        <v>0</v>
      </c>
      <c r="D482" s="942">
        <v>0</v>
      </c>
      <c r="E482" s="1030">
        <f>G482/25</f>
        <v>845968</v>
      </c>
      <c r="F482" s="942">
        <f>E482*200</f>
        <v>169193600</v>
      </c>
      <c r="G482" s="1030">
        <v>21149200</v>
      </c>
      <c r="H482" s="1030">
        <v>50</v>
      </c>
      <c r="I482" s="819">
        <f t="shared" si="50"/>
        <v>200</v>
      </c>
      <c r="J482" s="819">
        <v>230.00000148651128</v>
      </c>
      <c r="K482" s="819">
        <f t="shared" si="51"/>
        <v>25</v>
      </c>
    </row>
    <row r="483" spans="1:11" s="334" customFormat="1" ht="17.100000000000001" customHeight="1" x14ac:dyDescent="0.25">
      <c r="A483" s="206">
        <v>7</v>
      </c>
      <c r="B483" s="63" t="s">
        <v>59</v>
      </c>
      <c r="C483" s="942">
        <v>0</v>
      </c>
      <c r="D483" s="942">
        <v>0</v>
      </c>
      <c r="E483" s="1030">
        <v>16258</v>
      </c>
      <c r="F483" s="942">
        <v>8129027</v>
      </c>
      <c r="G483" s="1030">
        <v>2926450</v>
      </c>
      <c r="H483" s="1030">
        <v>20</v>
      </c>
      <c r="I483" s="819">
        <f t="shared" si="50"/>
        <v>500.00166072087586</v>
      </c>
      <c r="J483" s="819">
        <v>300</v>
      </c>
      <c r="K483" s="819">
        <f t="shared" si="51"/>
        <v>180.00061508180588</v>
      </c>
    </row>
    <row r="484" spans="1:11" s="334" customFormat="1" ht="17.100000000000001" customHeight="1" x14ac:dyDescent="0.25">
      <c r="A484" s="143">
        <v>8</v>
      </c>
      <c r="B484" s="274" t="s">
        <v>41</v>
      </c>
      <c r="C484" s="942">
        <v>56</v>
      </c>
      <c r="D484" s="943">
        <v>623.5</v>
      </c>
      <c r="E484" s="1030">
        <v>3615207</v>
      </c>
      <c r="F484" s="942">
        <v>2837937989</v>
      </c>
      <c r="G484" s="1030">
        <v>314523064</v>
      </c>
      <c r="H484" s="1030">
        <v>320</v>
      </c>
      <c r="I484" s="819">
        <f t="shared" si="50"/>
        <v>785.00013664501091</v>
      </c>
      <c r="J484" s="819">
        <v>490</v>
      </c>
      <c r="K484" s="819">
        <f t="shared" si="51"/>
        <v>87.000015213513365</v>
      </c>
    </row>
    <row r="485" spans="1:11" s="334" customFormat="1" ht="17.100000000000001" customHeight="1" x14ac:dyDescent="0.25">
      <c r="A485" s="206">
        <v>9</v>
      </c>
      <c r="B485" s="274" t="s">
        <v>40</v>
      </c>
      <c r="C485" s="942">
        <v>3</v>
      </c>
      <c r="D485" s="943">
        <v>224.87</v>
      </c>
      <c r="E485" s="1030">
        <v>1495</v>
      </c>
      <c r="F485" s="942">
        <v>897468</v>
      </c>
      <c r="G485" s="1030">
        <v>130133</v>
      </c>
      <c r="H485" s="1030">
        <v>30</v>
      </c>
      <c r="I485" s="819">
        <v>700</v>
      </c>
      <c r="J485" s="819">
        <v>670</v>
      </c>
      <c r="K485" s="819">
        <f t="shared" si="51"/>
        <v>87.045484949832769</v>
      </c>
    </row>
    <row r="486" spans="1:11" s="334" customFormat="1" ht="17.100000000000001" customHeight="1" x14ac:dyDescent="0.25">
      <c r="A486" s="206">
        <v>10</v>
      </c>
      <c r="B486" s="274" t="s">
        <v>26</v>
      </c>
      <c r="C486" s="942">
        <v>4</v>
      </c>
      <c r="D486" s="942">
        <v>884.45</v>
      </c>
      <c r="E486" s="1030">
        <v>95392</v>
      </c>
      <c r="F486" s="1030">
        <v>41018818</v>
      </c>
      <c r="G486" s="1030">
        <v>8281292</v>
      </c>
      <c r="H486" s="1030">
        <v>20</v>
      </c>
      <c r="I486" s="819">
        <f t="shared" si="50"/>
        <v>430.002704629319</v>
      </c>
      <c r="J486" s="819">
        <v>440.00000000000006</v>
      </c>
      <c r="K486" s="819">
        <f t="shared" si="51"/>
        <v>86.813275746393828</v>
      </c>
    </row>
    <row r="487" spans="1:11" s="334" customFormat="1" ht="17.100000000000001" customHeight="1" x14ac:dyDescent="0.25">
      <c r="A487" s="143">
        <v>11</v>
      </c>
      <c r="B487" s="274" t="s">
        <v>394</v>
      </c>
      <c r="C487" s="942">
        <v>2</v>
      </c>
      <c r="D487" s="942">
        <v>225.9</v>
      </c>
      <c r="E487" s="1030">
        <v>0</v>
      </c>
      <c r="F487" s="1030">
        <v>0</v>
      </c>
      <c r="G487" s="1030">
        <v>0</v>
      </c>
      <c r="H487" s="1030">
        <v>0</v>
      </c>
      <c r="I487" s="819" t="e">
        <f t="shared" si="50"/>
        <v>#DIV/0!</v>
      </c>
      <c r="J487" s="819" t="e">
        <v>#DIV/0!</v>
      </c>
      <c r="K487" s="819" t="e">
        <f t="shared" si="51"/>
        <v>#DIV/0!</v>
      </c>
    </row>
    <row r="488" spans="1:11" s="334" customFormat="1" ht="17.100000000000001" customHeight="1" x14ac:dyDescent="0.25">
      <c r="A488" s="206">
        <v>12</v>
      </c>
      <c r="B488" s="274" t="s">
        <v>27</v>
      </c>
      <c r="C488" s="942">
        <v>1</v>
      </c>
      <c r="D488" s="943">
        <v>60.56</v>
      </c>
      <c r="E488" s="1030">
        <v>22999</v>
      </c>
      <c r="F488" s="942">
        <v>41397444</v>
      </c>
      <c r="G488" s="1030">
        <v>2989815</v>
      </c>
      <c r="H488" s="1030">
        <v>50</v>
      </c>
      <c r="I488" s="819">
        <f t="shared" si="50"/>
        <v>1799.967129005609</v>
      </c>
      <c r="J488" s="819">
        <v>1650.0255876591577</v>
      </c>
      <c r="K488" s="819">
        <f t="shared" si="51"/>
        <v>129.9976085916779</v>
      </c>
    </row>
    <row r="489" spans="1:11" s="334" customFormat="1" ht="17.100000000000001" customHeight="1" x14ac:dyDescent="0.25">
      <c r="A489" s="206">
        <v>13</v>
      </c>
      <c r="B489" s="274" t="s">
        <v>44</v>
      </c>
      <c r="C489" s="942">
        <v>3</v>
      </c>
      <c r="D489" s="976">
        <v>168.04</v>
      </c>
      <c r="E489" s="1030">
        <v>5144</v>
      </c>
      <c r="F489" s="942">
        <v>2937910</v>
      </c>
      <c r="G489" s="1030">
        <v>587582</v>
      </c>
      <c r="H489" s="1030">
        <v>40</v>
      </c>
      <c r="I489" s="819">
        <f t="shared" si="50"/>
        <v>571.13335925349918</v>
      </c>
      <c r="J489" s="819" t="e">
        <v>#DIV/0!</v>
      </c>
      <c r="K489" s="819">
        <f t="shared" si="51"/>
        <v>114.22667185069984</v>
      </c>
    </row>
    <row r="490" spans="1:11" s="334" customFormat="1" ht="17.100000000000001" customHeight="1" x14ac:dyDescent="0.25">
      <c r="A490" s="206">
        <v>14</v>
      </c>
      <c r="B490" s="274" t="s">
        <v>404</v>
      </c>
      <c r="C490" s="942">
        <v>0</v>
      </c>
      <c r="D490" s="942">
        <v>0</v>
      </c>
      <c r="E490" s="942">
        <v>0</v>
      </c>
      <c r="F490" s="942">
        <v>0</v>
      </c>
      <c r="G490" s="942">
        <v>0</v>
      </c>
      <c r="H490" s="942">
        <v>0</v>
      </c>
      <c r="I490" s="819" t="e">
        <f t="shared" si="50"/>
        <v>#DIV/0!</v>
      </c>
      <c r="J490" s="819" t="e">
        <v>#DIV/0!</v>
      </c>
      <c r="K490" s="819" t="e">
        <f t="shared" si="51"/>
        <v>#DIV/0!</v>
      </c>
    </row>
    <row r="491" spans="1:11" s="334" customFormat="1" ht="17.100000000000001" customHeight="1" x14ac:dyDescent="0.25">
      <c r="A491" s="206">
        <v>15</v>
      </c>
      <c r="B491" s="274" t="s">
        <v>25</v>
      </c>
      <c r="C491" s="942">
        <v>0</v>
      </c>
      <c r="D491" s="942">
        <v>0</v>
      </c>
      <c r="E491" s="1030">
        <v>0</v>
      </c>
      <c r="F491" s="1030">
        <v>0</v>
      </c>
      <c r="G491" s="1030">
        <v>0</v>
      </c>
      <c r="H491" s="1030">
        <v>0</v>
      </c>
      <c r="I491" s="819" t="e">
        <f t="shared" si="50"/>
        <v>#DIV/0!</v>
      </c>
      <c r="J491" s="819" t="e">
        <v>#DIV/0!</v>
      </c>
      <c r="K491" s="819" t="e">
        <f t="shared" si="51"/>
        <v>#DIV/0!</v>
      </c>
    </row>
    <row r="492" spans="1:11" s="334" customFormat="1" ht="17.100000000000001" customHeight="1" x14ac:dyDescent="0.25">
      <c r="A492" s="206">
        <v>16</v>
      </c>
      <c r="B492" s="331" t="s">
        <v>68</v>
      </c>
      <c r="C492" s="942">
        <v>4</v>
      </c>
      <c r="D492" s="943">
        <v>38.44</v>
      </c>
      <c r="E492" s="1030">
        <v>4696</v>
      </c>
      <c r="F492" s="942">
        <v>1174040</v>
      </c>
      <c r="G492" s="1030">
        <v>730551</v>
      </c>
      <c r="H492" s="1030">
        <v>28</v>
      </c>
      <c r="I492" s="819">
        <f t="shared" si="50"/>
        <v>250.0085178875639</v>
      </c>
      <c r="J492" s="819">
        <v>260.00018967026557</v>
      </c>
      <c r="K492" s="819">
        <f t="shared" si="51"/>
        <v>155.56878194207837</v>
      </c>
    </row>
    <row r="493" spans="1:11" s="334" customFormat="1" ht="17.100000000000001" customHeight="1" x14ac:dyDescent="0.25">
      <c r="A493" s="206"/>
      <c r="B493" s="63" t="s">
        <v>75</v>
      </c>
      <c r="C493" s="942">
        <v>0</v>
      </c>
      <c r="D493" s="942">
        <v>0</v>
      </c>
      <c r="E493" s="942"/>
      <c r="F493" s="942"/>
      <c r="G493" s="1030"/>
      <c r="H493" s="1030"/>
      <c r="I493" s="819"/>
      <c r="J493" s="819"/>
      <c r="K493" s="819"/>
    </row>
    <row r="494" spans="1:11" s="334" customFormat="1" ht="17.100000000000001" customHeight="1" x14ac:dyDescent="0.25">
      <c r="A494" s="143"/>
      <c r="B494" s="63" t="s">
        <v>49</v>
      </c>
      <c r="C494" s="942">
        <v>0</v>
      </c>
      <c r="D494" s="942">
        <v>0</v>
      </c>
      <c r="E494" s="942"/>
      <c r="F494" s="942"/>
      <c r="G494" s="1030">
        <v>30043920</v>
      </c>
      <c r="H494" s="1030"/>
      <c r="I494" s="819"/>
      <c r="J494" s="819"/>
      <c r="K494" s="819"/>
    </row>
    <row r="495" spans="1:11" s="334" customFormat="1" ht="17.100000000000001" customHeight="1" x14ac:dyDescent="0.25">
      <c r="A495" s="1182" t="s">
        <v>50</v>
      </c>
      <c r="B495" s="1183"/>
      <c r="C495" s="335">
        <f>SUM(C477:C494)</f>
        <v>334</v>
      </c>
      <c r="D495" s="335">
        <f t="shared" ref="D495:H495" si="53">SUM(D477:D494)</f>
        <v>2627.31</v>
      </c>
      <c r="E495" s="335">
        <f t="shared" si="53"/>
        <v>11727304</v>
      </c>
      <c r="F495" s="371">
        <f>SUM(F477:F494)</f>
        <v>4782554132</v>
      </c>
      <c r="G495" s="371">
        <f>SUM(G477:G494)</f>
        <v>760486822</v>
      </c>
      <c r="H495" s="335">
        <f t="shared" si="53"/>
        <v>1353</v>
      </c>
      <c r="I495" s="819"/>
      <c r="J495" s="819"/>
      <c r="K495" s="819"/>
    </row>
    <row r="496" spans="1:11" s="334" customFormat="1" ht="17.100000000000001" customHeight="1" x14ac:dyDescent="0.25">
      <c r="A496" s="343"/>
      <c r="B496" s="349"/>
      <c r="C496" s="349"/>
      <c r="D496" s="350"/>
      <c r="E496" s="350"/>
      <c r="F496" s="351"/>
      <c r="G496" s="351"/>
      <c r="H496" s="347"/>
      <c r="I496" s="819"/>
      <c r="J496" s="819"/>
      <c r="K496" s="819"/>
    </row>
    <row r="497" spans="1:11" s="334" customFormat="1" ht="17.100000000000001" customHeight="1" x14ac:dyDescent="0.25">
      <c r="A497" s="1188" t="s">
        <v>124</v>
      </c>
      <c r="B497" s="1188"/>
      <c r="C497" s="1188"/>
      <c r="D497" s="1188"/>
      <c r="E497" s="1188"/>
      <c r="F497" s="1188"/>
      <c r="G497" s="1188"/>
      <c r="H497" s="1188"/>
      <c r="I497" s="819"/>
      <c r="J497" s="819"/>
      <c r="K497" s="819"/>
    </row>
    <row r="498" spans="1:11" s="334" customFormat="1" ht="17.100000000000001" customHeight="1" x14ac:dyDescent="0.25">
      <c r="A498" s="1184" t="s">
        <v>182</v>
      </c>
      <c r="B498" s="1184" t="s">
        <v>3</v>
      </c>
      <c r="C498" s="1184" t="s">
        <v>4</v>
      </c>
      <c r="D498" s="336" t="s">
        <v>5</v>
      </c>
      <c r="E498" s="337" t="s">
        <v>6</v>
      </c>
      <c r="F498" s="338" t="s">
        <v>7</v>
      </c>
      <c r="G498" s="338" t="s">
        <v>8</v>
      </c>
      <c r="H498" s="337" t="s">
        <v>9</v>
      </c>
      <c r="I498" s="819"/>
      <c r="J498" s="819"/>
      <c r="K498" s="819"/>
    </row>
    <row r="499" spans="1:11" s="334" customFormat="1" ht="17.100000000000001" customHeight="1" x14ac:dyDescent="0.25">
      <c r="A499" s="1185"/>
      <c r="B499" s="1185"/>
      <c r="C499" s="1185"/>
      <c r="D499" s="302" t="s">
        <v>380</v>
      </c>
      <c r="E499" s="339" t="s">
        <v>79</v>
      </c>
      <c r="F499" s="340" t="s">
        <v>632</v>
      </c>
      <c r="G499" s="340" t="s">
        <v>671</v>
      </c>
      <c r="H499" s="303" t="s">
        <v>13</v>
      </c>
      <c r="I499" s="819"/>
      <c r="J499" s="819"/>
      <c r="K499" s="819"/>
    </row>
    <row r="500" spans="1:11" s="334" customFormat="1" ht="17.100000000000001" customHeight="1" x14ac:dyDescent="0.25">
      <c r="A500" s="206">
        <v>1</v>
      </c>
      <c r="B500" s="63" t="s">
        <v>62</v>
      </c>
      <c r="C500" s="942">
        <v>0</v>
      </c>
      <c r="D500" s="942">
        <v>0</v>
      </c>
      <c r="E500" s="942">
        <v>1163613</v>
      </c>
      <c r="F500" s="942">
        <v>2909033725</v>
      </c>
      <c r="G500" s="942">
        <v>410472000</v>
      </c>
      <c r="H500" s="942">
        <v>10700</v>
      </c>
      <c r="I500" s="819">
        <f t="shared" si="50"/>
        <v>2500.0010527555123</v>
      </c>
      <c r="J500" s="819">
        <v>2000</v>
      </c>
      <c r="K500" s="819">
        <f t="shared" si="51"/>
        <v>352.756457688252</v>
      </c>
    </row>
    <row r="501" spans="1:11" s="334" customFormat="1" ht="17.100000000000001" customHeight="1" x14ac:dyDescent="0.25">
      <c r="A501" s="143">
        <f>+A500+1</f>
        <v>2</v>
      </c>
      <c r="B501" s="63" t="s">
        <v>63</v>
      </c>
      <c r="C501" s="942">
        <v>154</v>
      </c>
      <c r="D501" s="942">
        <v>155.9</v>
      </c>
      <c r="E501" s="942">
        <v>678202</v>
      </c>
      <c r="F501" s="942">
        <v>132249548</v>
      </c>
      <c r="G501" s="942">
        <v>52612000</v>
      </c>
      <c r="H501" s="942">
        <v>660</v>
      </c>
      <c r="I501" s="819">
        <f t="shared" si="50"/>
        <v>195.00023296893846</v>
      </c>
      <c r="J501" s="819">
        <v>180</v>
      </c>
      <c r="K501" s="819">
        <f t="shared" si="51"/>
        <v>77.575707532564039</v>
      </c>
    </row>
    <row r="502" spans="1:11" s="334" customFormat="1" ht="17.100000000000001" customHeight="1" x14ac:dyDescent="0.25">
      <c r="A502" s="144">
        <v>3</v>
      </c>
      <c r="B502" s="274" t="s">
        <v>455</v>
      </c>
      <c r="C502" s="942">
        <v>3</v>
      </c>
      <c r="D502" s="942">
        <v>14.32</v>
      </c>
      <c r="E502" s="942">
        <v>1778</v>
      </c>
      <c r="F502" s="942">
        <v>800064</v>
      </c>
      <c r="G502" s="942">
        <v>185000</v>
      </c>
      <c r="H502" s="942">
        <v>5</v>
      </c>
      <c r="I502" s="819">
        <f t="shared" si="50"/>
        <v>449.97975253093364</v>
      </c>
      <c r="J502" s="819">
        <v>449.99991291666737</v>
      </c>
      <c r="K502" s="819">
        <f t="shared" si="51"/>
        <v>104.04949381327334</v>
      </c>
    </row>
    <row r="503" spans="1:11" s="334" customFormat="1" ht="17.100000000000001" customHeight="1" x14ac:dyDescent="0.25">
      <c r="A503" s="144">
        <v>4</v>
      </c>
      <c r="B503" s="63" t="s">
        <v>58</v>
      </c>
      <c r="C503" s="942">
        <v>1</v>
      </c>
      <c r="D503" s="942">
        <v>1</v>
      </c>
      <c r="E503" s="942">
        <v>0</v>
      </c>
      <c r="F503" s="942">
        <v>0</v>
      </c>
      <c r="G503" s="942">
        <v>0</v>
      </c>
      <c r="H503" s="942">
        <v>0</v>
      </c>
      <c r="I503" s="819" t="e">
        <f t="shared" si="50"/>
        <v>#DIV/0!</v>
      </c>
      <c r="J503" s="819">
        <v>2150</v>
      </c>
      <c r="K503" s="819" t="e">
        <f t="shared" si="51"/>
        <v>#DIV/0!</v>
      </c>
    </row>
    <row r="504" spans="1:11" s="334" customFormat="1" ht="17.100000000000001" customHeight="1" x14ac:dyDescent="0.25">
      <c r="A504" s="144">
        <v>5</v>
      </c>
      <c r="B504" s="63" t="s">
        <v>59</v>
      </c>
      <c r="C504" s="942">
        <v>2</v>
      </c>
      <c r="D504" s="942">
        <v>79.56</v>
      </c>
      <c r="E504" s="942">
        <v>8400</v>
      </c>
      <c r="F504" s="942">
        <v>3780355</v>
      </c>
      <c r="G504" s="942">
        <v>98000</v>
      </c>
      <c r="H504" s="942">
        <v>5</v>
      </c>
      <c r="I504" s="819">
        <f t="shared" si="50"/>
        <v>450.04226190476192</v>
      </c>
      <c r="J504" s="819"/>
      <c r="K504" s="819">
        <f t="shared" si="51"/>
        <v>11.666666666666666</v>
      </c>
    </row>
    <row r="505" spans="1:11" s="334" customFormat="1" ht="17.100000000000001" customHeight="1" x14ac:dyDescent="0.25">
      <c r="A505" s="144"/>
      <c r="B505" s="63" t="s">
        <v>75</v>
      </c>
      <c r="C505" s="942">
        <v>0</v>
      </c>
      <c r="D505" s="942">
        <v>0</v>
      </c>
      <c r="E505" s="942"/>
      <c r="F505" s="942"/>
      <c r="G505" s="942">
        <v>1967000</v>
      </c>
      <c r="H505" s="942"/>
      <c r="I505" s="819"/>
      <c r="J505" s="819"/>
      <c r="K505" s="819"/>
    </row>
    <row r="506" spans="1:11" s="334" customFormat="1" ht="17.100000000000001" customHeight="1" x14ac:dyDescent="0.25">
      <c r="A506" s="144"/>
      <c r="B506" s="63" t="s">
        <v>49</v>
      </c>
      <c r="C506" s="942">
        <v>0</v>
      </c>
      <c r="D506" s="942">
        <v>0</v>
      </c>
      <c r="E506" s="942"/>
      <c r="F506" s="942"/>
      <c r="G506" s="942">
        <v>57692000</v>
      </c>
      <c r="H506" s="942"/>
      <c r="I506" s="819"/>
      <c r="J506" s="819"/>
      <c r="K506" s="819"/>
    </row>
    <row r="507" spans="1:11" s="334" customFormat="1" ht="17.100000000000001" customHeight="1" x14ac:dyDescent="0.25">
      <c r="A507" s="1182" t="s">
        <v>50</v>
      </c>
      <c r="B507" s="1183"/>
      <c r="C507" s="335">
        <f t="shared" ref="C507:H507" si="54">SUM(C500:C506)</f>
        <v>160</v>
      </c>
      <c r="D507" s="591">
        <f t="shared" si="54"/>
        <v>250.78</v>
      </c>
      <c r="E507" s="371">
        <f t="shared" si="54"/>
        <v>1851993</v>
      </c>
      <c r="F507" s="335">
        <f>SUM(F500:F506)</f>
        <v>3045863692</v>
      </c>
      <c r="G507" s="371">
        <f>SUM(G500:G506)</f>
        <v>523026000</v>
      </c>
      <c r="H507" s="371">
        <f t="shared" si="54"/>
        <v>11370</v>
      </c>
      <c r="I507" s="819"/>
      <c r="J507" s="819"/>
      <c r="K507" s="819"/>
    </row>
    <row r="508" spans="1:11" s="334" customFormat="1" ht="17.100000000000001" customHeight="1" x14ac:dyDescent="0.25">
      <c r="A508" s="353"/>
      <c r="B508" s="354"/>
      <c r="C508" s="354"/>
      <c r="D508" s="355"/>
      <c r="E508" s="355"/>
      <c r="F508" s="356"/>
      <c r="G508" s="351"/>
      <c r="H508" s="357"/>
      <c r="I508" s="819"/>
      <c r="J508" s="819"/>
      <c r="K508" s="819"/>
    </row>
    <row r="509" spans="1:11" s="387" customFormat="1" ht="17.100000000000001" customHeight="1" x14ac:dyDescent="0.25">
      <c r="A509" s="1189" t="s">
        <v>107</v>
      </c>
      <c r="B509" s="1189"/>
      <c r="C509" s="1189"/>
      <c r="D509" s="1189"/>
      <c r="E509" s="1189"/>
      <c r="F509" s="1189"/>
      <c r="G509" s="1189"/>
      <c r="H509" s="1189"/>
      <c r="I509" s="828"/>
      <c r="J509" s="819"/>
      <c r="K509" s="828"/>
    </row>
    <row r="510" spans="1:11" s="334" customFormat="1" ht="17.100000000000001" customHeight="1" x14ac:dyDescent="0.25">
      <c r="A510" s="1184" t="s">
        <v>182</v>
      </c>
      <c r="B510" s="1184" t="s">
        <v>3</v>
      </c>
      <c r="C510" s="1184" t="s">
        <v>4</v>
      </c>
      <c r="D510" s="336" t="s">
        <v>5</v>
      </c>
      <c r="E510" s="337" t="s">
        <v>6</v>
      </c>
      <c r="F510" s="338" t="s">
        <v>7</v>
      </c>
      <c r="G510" s="338" t="s">
        <v>8</v>
      </c>
      <c r="H510" s="337" t="s">
        <v>9</v>
      </c>
      <c r="I510" s="819"/>
      <c r="J510" s="819"/>
      <c r="K510" s="819"/>
    </row>
    <row r="511" spans="1:11" s="334" customFormat="1" ht="17.100000000000001" customHeight="1" x14ac:dyDescent="0.25">
      <c r="A511" s="1185"/>
      <c r="B511" s="1185"/>
      <c r="C511" s="1185"/>
      <c r="D511" s="302" t="s">
        <v>380</v>
      </c>
      <c r="E511" s="339" t="s">
        <v>79</v>
      </c>
      <c r="F511" s="340" t="s">
        <v>632</v>
      </c>
      <c r="G511" s="340" t="s">
        <v>671</v>
      </c>
      <c r="H511" s="303" t="s">
        <v>13</v>
      </c>
      <c r="I511" s="819"/>
      <c r="J511" s="819"/>
      <c r="K511" s="819"/>
    </row>
    <row r="512" spans="1:11" s="334" customFormat="1" ht="17.100000000000001" customHeight="1" x14ac:dyDescent="0.25">
      <c r="A512" s="206">
        <v>1</v>
      </c>
      <c r="B512" s="63" t="s">
        <v>60</v>
      </c>
      <c r="C512" s="942">
        <v>164</v>
      </c>
      <c r="D512" s="943">
        <v>1216.17</v>
      </c>
      <c r="E512" s="942">
        <v>6341382</v>
      </c>
      <c r="F512" s="1030">
        <v>2282897520</v>
      </c>
      <c r="G512" s="1030">
        <v>585225939</v>
      </c>
      <c r="H512" s="1006">
        <v>400</v>
      </c>
      <c r="I512" s="819">
        <f t="shared" si="50"/>
        <v>360</v>
      </c>
      <c r="J512" s="819">
        <v>330</v>
      </c>
      <c r="K512" s="819">
        <f t="shared" si="51"/>
        <v>92.286813663015408</v>
      </c>
    </row>
    <row r="513" spans="1:11" s="334" customFormat="1" ht="17.100000000000001" customHeight="1" x14ac:dyDescent="0.25">
      <c r="A513" s="143">
        <v>2</v>
      </c>
      <c r="B513" s="276" t="s">
        <v>63</v>
      </c>
      <c r="C513" s="951">
        <v>335</v>
      </c>
      <c r="D513" s="951">
        <v>337.88</v>
      </c>
      <c r="E513" s="951">
        <v>6209063</v>
      </c>
      <c r="F513" s="951">
        <v>1210767285</v>
      </c>
      <c r="G513" s="951">
        <v>74639225</v>
      </c>
      <c r="H513" s="1007">
        <v>650</v>
      </c>
      <c r="I513" s="819">
        <f t="shared" si="50"/>
        <v>195</v>
      </c>
      <c r="J513" s="819">
        <v>180</v>
      </c>
      <c r="K513" s="819">
        <f t="shared" si="51"/>
        <v>12.021012671316107</v>
      </c>
    </row>
    <row r="514" spans="1:11" s="334" customFormat="1" ht="17.100000000000001" customHeight="1" x14ac:dyDescent="0.25">
      <c r="A514" s="143">
        <v>3</v>
      </c>
      <c r="B514" s="821" t="s">
        <v>71</v>
      </c>
      <c r="C514" s="942">
        <v>0</v>
      </c>
      <c r="D514" s="942">
        <v>0</v>
      </c>
      <c r="E514" s="942">
        <v>417275</v>
      </c>
      <c r="F514" s="942">
        <v>312956340</v>
      </c>
      <c r="G514" s="942">
        <v>23404217</v>
      </c>
      <c r="H514" s="1008">
        <v>350</v>
      </c>
      <c r="I514" s="819">
        <f t="shared" si="50"/>
        <v>750.00021568509976</v>
      </c>
      <c r="J514" s="819">
        <v>700</v>
      </c>
      <c r="K514" s="819">
        <f t="shared" si="51"/>
        <v>56.088231981307288</v>
      </c>
    </row>
    <row r="515" spans="1:11" s="334" customFormat="1" ht="17.100000000000001" customHeight="1" x14ac:dyDescent="0.25">
      <c r="A515" s="143">
        <v>4</v>
      </c>
      <c r="B515" s="63" t="s">
        <v>62</v>
      </c>
      <c r="C515" s="942">
        <v>0</v>
      </c>
      <c r="D515" s="942">
        <v>0</v>
      </c>
      <c r="E515" s="942">
        <v>0</v>
      </c>
      <c r="F515" s="942">
        <v>0</v>
      </c>
      <c r="G515" s="942">
        <v>0</v>
      </c>
      <c r="H515" s="1008">
        <v>0</v>
      </c>
      <c r="I515" s="819" t="e">
        <f t="shared" si="50"/>
        <v>#DIV/0!</v>
      </c>
      <c r="J515" s="819" t="e">
        <v>#DIV/0!</v>
      </c>
      <c r="K515" s="819" t="e">
        <f t="shared" si="51"/>
        <v>#DIV/0!</v>
      </c>
    </row>
    <row r="516" spans="1:11" s="1067" customFormat="1" ht="17.100000000000001" customHeight="1" x14ac:dyDescent="0.25">
      <c r="A516" s="1064">
        <v>5</v>
      </c>
      <c r="B516" s="1065" t="s">
        <v>31</v>
      </c>
      <c r="C516" s="1060">
        <v>2</v>
      </c>
      <c r="D516" s="1066">
        <v>1993.12</v>
      </c>
      <c r="E516" s="1059">
        <v>140613</v>
      </c>
      <c r="F516" s="1060">
        <v>105459750</v>
      </c>
      <c r="G516" s="1059">
        <v>65129706</v>
      </c>
      <c r="H516" s="1059">
        <v>150</v>
      </c>
      <c r="I516" s="1049">
        <v>700</v>
      </c>
      <c r="J516" s="1049">
        <v>750</v>
      </c>
      <c r="K516" s="1049">
        <f t="shared" si="51"/>
        <v>463.18410104328905</v>
      </c>
    </row>
    <row r="517" spans="1:11" s="334" customFormat="1" ht="17.100000000000001" customHeight="1" x14ac:dyDescent="0.25">
      <c r="A517" s="206">
        <v>6</v>
      </c>
      <c r="B517" s="63" t="s">
        <v>59</v>
      </c>
      <c r="C517" s="942">
        <v>0</v>
      </c>
      <c r="D517" s="943">
        <v>0</v>
      </c>
      <c r="E517" s="1030"/>
      <c r="F517" s="942"/>
      <c r="G517" s="1030"/>
      <c r="H517" s="1006"/>
      <c r="I517" s="819">
        <v>300</v>
      </c>
      <c r="J517" s="819">
        <v>300</v>
      </c>
      <c r="K517" s="819" t="e">
        <f t="shared" si="51"/>
        <v>#DIV/0!</v>
      </c>
    </row>
    <row r="518" spans="1:11" s="1067" customFormat="1" ht="17.100000000000001" customHeight="1" x14ac:dyDescent="0.25">
      <c r="A518" s="1068">
        <v>7</v>
      </c>
      <c r="B518" s="1065" t="s">
        <v>399</v>
      </c>
      <c r="C518" s="1060">
        <v>3</v>
      </c>
      <c r="D518" s="1066">
        <v>12.03</v>
      </c>
      <c r="E518" s="1059">
        <v>55308</v>
      </c>
      <c r="F518" s="1060">
        <v>19910898</v>
      </c>
      <c r="G518" s="1059">
        <v>185583</v>
      </c>
      <c r="H518" s="1059">
        <v>100</v>
      </c>
      <c r="I518" s="1049">
        <v>345</v>
      </c>
      <c r="J518" s="1049">
        <v>340</v>
      </c>
      <c r="K518" s="1049">
        <f t="shared" si="51"/>
        <v>3.3554458667823823</v>
      </c>
    </row>
    <row r="519" spans="1:11" s="334" customFormat="1" ht="17.100000000000001" customHeight="1" x14ac:dyDescent="0.25">
      <c r="A519" s="206">
        <v>8</v>
      </c>
      <c r="B519" s="331" t="s">
        <v>68</v>
      </c>
      <c r="C519" s="942">
        <v>1</v>
      </c>
      <c r="D519" s="943">
        <v>1</v>
      </c>
      <c r="E519" s="1030">
        <v>91.41</v>
      </c>
      <c r="F519" s="942">
        <v>21938</v>
      </c>
      <c r="G519" s="1030">
        <v>8227</v>
      </c>
      <c r="H519" s="1006">
        <v>20</v>
      </c>
      <c r="I519" s="819">
        <f t="shared" si="50"/>
        <v>239.99562411114758</v>
      </c>
      <c r="J519" s="819" t="e">
        <v>#DIV/0!</v>
      </c>
      <c r="K519" s="819">
        <f t="shared" si="51"/>
        <v>90.001093972213113</v>
      </c>
    </row>
    <row r="520" spans="1:11" s="1067" customFormat="1" ht="17.100000000000001" customHeight="1" x14ac:dyDescent="0.25">
      <c r="A520" s="1068">
        <v>9</v>
      </c>
      <c r="B520" s="1065" t="s">
        <v>171</v>
      </c>
      <c r="C520" s="1060">
        <v>196</v>
      </c>
      <c r="D520" s="1066">
        <v>544.41999999999996</v>
      </c>
      <c r="E520" s="1059">
        <v>2573379</v>
      </c>
      <c r="F520" s="1060">
        <v>1106552970</v>
      </c>
      <c r="G520" s="1059">
        <v>149341985</v>
      </c>
      <c r="H520" s="1059">
        <v>300</v>
      </c>
      <c r="I520" s="1049">
        <v>430</v>
      </c>
      <c r="J520" s="1049">
        <v>400</v>
      </c>
      <c r="K520" s="1049">
        <f t="shared" si="51"/>
        <v>58.033420261842501</v>
      </c>
    </row>
    <row r="521" spans="1:11" s="1067" customFormat="1" ht="17.100000000000001" customHeight="1" x14ac:dyDescent="0.25">
      <c r="A521" s="1069">
        <v>10</v>
      </c>
      <c r="B521" s="1065" t="s">
        <v>390</v>
      </c>
      <c r="C521" s="1060">
        <v>9</v>
      </c>
      <c r="D521" s="1066">
        <v>13.24</v>
      </c>
      <c r="E521" s="1059">
        <v>97967</v>
      </c>
      <c r="F521" s="1060">
        <v>52902347</v>
      </c>
      <c r="G521" s="1059">
        <v>10044778</v>
      </c>
      <c r="H521" s="1059">
        <v>90</v>
      </c>
      <c r="I521" s="1049">
        <v>500</v>
      </c>
      <c r="J521" s="1049" t="e">
        <v>#DIV/0!</v>
      </c>
      <c r="K521" s="1049">
        <f t="shared" si="51"/>
        <v>102.53226086335195</v>
      </c>
    </row>
    <row r="522" spans="1:11" s="334" customFormat="1" ht="17.100000000000001" customHeight="1" x14ac:dyDescent="0.25">
      <c r="A522" s="144"/>
      <c r="B522" s="63" t="s">
        <v>75</v>
      </c>
      <c r="C522" s="942">
        <v>0</v>
      </c>
      <c r="D522" s="942">
        <v>0</v>
      </c>
      <c r="E522" s="942"/>
      <c r="F522" s="942"/>
      <c r="G522" s="942">
        <v>7004362</v>
      </c>
      <c r="H522" s="1008"/>
      <c r="I522" s="819"/>
      <c r="J522" s="819"/>
      <c r="K522" s="819"/>
    </row>
    <row r="523" spans="1:11" s="334" customFormat="1" ht="17.100000000000001" customHeight="1" x14ac:dyDescent="0.25">
      <c r="A523" s="144"/>
      <c r="B523" s="63" t="s">
        <v>49</v>
      </c>
      <c r="C523" s="942">
        <v>0</v>
      </c>
      <c r="D523" s="942">
        <v>0</v>
      </c>
      <c r="E523" s="942"/>
      <c r="F523" s="942"/>
      <c r="G523" s="942">
        <v>898908665</v>
      </c>
      <c r="H523" s="942"/>
      <c r="I523" s="819"/>
      <c r="J523" s="819"/>
      <c r="K523" s="819"/>
    </row>
    <row r="524" spans="1:11" s="334" customFormat="1" ht="17.100000000000001" customHeight="1" x14ac:dyDescent="0.25">
      <c r="A524" s="1182" t="s">
        <v>50</v>
      </c>
      <c r="B524" s="1183"/>
      <c r="C524" s="335">
        <f>SUM(C512:C523)</f>
        <v>710</v>
      </c>
      <c r="D524" s="335">
        <f t="shared" ref="D524:H524" si="55">SUM(D512:D523)</f>
        <v>4117.8599999999997</v>
      </c>
      <c r="E524" s="335">
        <f t="shared" si="55"/>
        <v>15835078.41</v>
      </c>
      <c r="F524" s="335">
        <f t="shared" si="55"/>
        <v>5091469048</v>
      </c>
      <c r="G524" s="335">
        <f t="shared" si="55"/>
        <v>1813892687</v>
      </c>
      <c r="H524" s="335">
        <f t="shared" si="55"/>
        <v>2060</v>
      </c>
      <c r="I524" s="819"/>
      <c r="J524" s="819"/>
      <c r="K524" s="819"/>
    </row>
    <row r="525" spans="1:11" s="334" customFormat="1" ht="17.100000000000001" customHeight="1" x14ac:dyDescent="0.25">
      <c r="A525" s="353"/>
      <c r="B525" s="354"/>
      <c r="C525" s="354"/>
      <c r="D525" s="355"/>
      <c r="E525" s="355"/>
      <c r="F525" s="356"/>
      <c r="G525" s="356"/>
      <c r="H525" s="357"/>
      <c r="I525" s="819"/>
      <c r="J525" s="819"/>
      <c r="K525" s="819"/>
    </row>
    <row r="526" spans="1:11" s="387" customFormat="1" ht="17.100000000000001" customHeight="1" x14ac:dyDescent="0.25">
      <c r="A526" s="1189" t="s">
        <v>89</v>
      </c>
      <c r="B526" s="1189"/>
      <c r="C526" s="1189"/>
      <c r="D526" s="1189"/>
      <c r="E526" s="1189"/>
      <c r="F526" s="1189"/>
      <c r="G526" s="1189"/>
      <c r="H526" s="1189"/>
      <c r="I526" s="828"/>
      <c r="J526" s="819"/>
      <c r="K526" s="828"/>
    </row>
    <row r="527" spans="1:11" s="334" customFormat="1" ht="17.100000000000001" customHeight="1" x14ac:dyDescent="0.25">
      <c r="A527" s="1184" t="s">
        <v>182</v>
      </c>
      <c r="B527" s="1184" t="s">
        <v>3</v>
      </c>
      <c r="C527" s="1184" t="s">
        <v>4</v>
      </c>
      <c r="D527" s="336" t="s">
        <v>5</v>
      </c>
      <c r="E527" s="337" t="s">
        <v>6</v>
      </c>
      <c r="F527" s="338" t="s">
        <v>7</v>
      </c>
      <c r="G527" s="338" t="s">
        <v>8</v>
      </c>
      <c r="H527" s="337" t="s">
        <v>9</v>
      </c>
      <c r="I527" s="819"/>
      <c r="J527" s="819"/>
      <c r="K527" s="819"/>
    </row>
    <row r="528" spans="1:11" s="334" customFormat="1" ht="17.100000000000001" customHeight="1" x14ac:dyDescent="0.25">
      <c r="A528" s="1185"/>
      <c r="B528" s="1185"/>
      <c r="C528" s="1185"/>
      <c r="D528" s="302" t="s">
        <v>380</v>
      </c>
      <c r="E528" s="339" t="s">
        <v>79</v>
      </c>
      <c r="F528" s="340" t="s">
        <v>632</v>
      </c>
      <c r="G528" s="340" t="s">
        <v>671</v>
      </c>
      <c r="H528" s="303" t="s">
        <v>13</v>
      </c>
      <c r="I528" s="819"/>
      <c r="J528" s="819"/>
      <c r="K528" s="819"/>
    </row>
    <row r="529" spans="1:11" s="334" customFormat="1" ht="17.100000000000001" customHeight="1" x14ac:dyDescent="0.25">
      <c r="A529" s="137">
        <v>1</v>
      </c>
      <c r="B529" s="63" t="s">
        <v>62</v>
      </c>
      <c r="C529" s="942">
        <v>17</v>
      </c>
      <c r="D529" s="943">
        <v>17.07</v>
      </c>
      <c r="E529" s="974">
        <v>218433</v>
      </c>
      <c r="F529" s="974">
        <f>E529*J529</f>
        <v>401916719.99999994</v>
      </c>
      <c r="G529" s="951">
        <v>9593900</v>
      </c>
      <c r="H529" s="974">
        <v>50</v>
      </c>
      <c r="I529" s="819">
        <f t="shared" ref="I529:I587" si="56">F529/E529</f>
        <v>1839.9999999999998</v>
      </c>
      <c r="J529" s="819">
        <v>1839.9999999999998</v>
      </c>
      <c r="K529" s="819">
        <f t="shared" si="51"/>
        <v>43.921477066194214</v>
      </c>
    </row>
    <row r="530" spans="1:11" s="334" customFormat="1" ht="17.100000000000001" customHeight="1" x14ac:dyDescent="0.25">
      <c r="A530" s="137">
        <v>2</v>
      </c>
      <c r="B530" s="63" t="s">
        <v>58</v>
      </c>
      <c r="C530" s="942">
        <v>1</v>
      </c>
      <c r="D530" s="943">
        <v>1</v>
      </c>
      <c r="E530" s="974">
        <v>2053.2199999999998</v>
      </c>
      <c r="F530" s="974">
        <f t="shared" ref="F530:F539" si="57">E530*J530</f>
        <v>4414423</v>
      </c>
      <c r="G530" s="951">
        <v>72177</v>
      </c>
      <c r="H530" s="974">
        <v>25</v>
      </c>
      <c r="I530" s="819">
        <f t="shared" si="56"/>
        <v>2150</v>
      </c>
      <c r="J530" s="819">
        <v>2150</v>
      </c>
      <c r="K530" s="819">
        <f t="shared" ref="K530:K574" si="58">G530/E530</f>
        <v>35.153076630853008</v>
      </c>
    </row>
    <row r="531" spans="1:11" s="334" customFormat="1" ht="17.100000000000001" customHeight="1" x14ac:dyDescent="0.25">
      <c r="A531" s="137">
        <v>3</v>
      </c>
      <c r="B531" s="63" t="s">
        <v>68</v>
      </c>
      <c r="C531" s="942">
        <v>5</v>
      </c>
      <c r="D531" s="943">
        <v>5</v>
      </c>
      <c r="E531" s="974">
        <v>12006</v>
      </c>
      <c r="F531" s="974">
        <f t="shared" si="57"/>
        <v>3001500</v>
      </c>
      <c r="G531" s="951">
        <v>286331</v>
      </c>
      <c r="H531" s="974">
        <v>10</v>
      </c>
      <c r="I531" s="819">
        <f t="shared" si="56"/>
        <v>250</v>
      </c>
      <c r="J531" s="819">
        <v>250</v>
      </c>
      <c r="K531" s="819">
        <f t="shared" si="58"/>
        <v>23.848992170581376</v>
      </c>
    </row>
    <row r="532" spans="1:11" s="334" customFormat="1" ht="17.100000000000001" customHeight="1" x14ac:dyDescent="0.25">
      <c r="A532" s="137">
        <v>4</v>
      </c>
      <c r="B532" s="63" t="s">
        <v>63</v>
      </c>
      <c r="C532" s="942">
        <v>346</v>
      </c>
      <c r="D532" s="943">
        <v>467.66</v>
      </c>
      <c r="E532" s="974">
        <v>16915660</v>
      </c>
      <c r="F532" s="974">
        <f t="shared" si="57"/>
        <v>3129397099.5105352</v>
      </c>
      <c r="G532" s="951">
        <v>795642287</v>
      </c>
      <c r="H532" s="974">
        <v>3500</v>
      </c>
      <c r="I532" s="819">
        <f t="shared" si="56"/>
        <v>184.9999999710644</v>
      </c>
      <c r="J532" s="819">
        <v>184.9999999710644</v>
      </c>
      <c r="K532" s="819">
        <f t="shared" si="58"/>
        <v>47.035840576128862</v>
      </c>
    </row>
    <row r="533" spans="1:11" s="334" customFormat="1" ht="17.100000000000001" customHeight="1" x14ac:dyDescent="0.25">
      <c r="A533" s="137">
        <v>5</v>
      </c>
      <c r="B533" s="63" t="s">
        <v>59</v>
      </c>
      <c r="C533" s="942">
        <v>0</v>
      </c>
      <c r="D533" s="942">
        <v>0</v>
      </c>
      <c r="E533" s="942">
        <v>0</v>
      </c>
      <c r="F533" s="974">
        <v>0</v>
      </c>
      <c r="G533" s="942">
        <v>0</v>
      </c>
      <c r="H533" s="974">
        <v>0</v>
      </c>
      <c r="I533" s="819" t="e">
        <f t="shared" si="56"/>
        <v>#DIV/0!</v>
      </c>
      <c r="J533" s="819" t="e">
        <v>#DIV/0!</v>
      </c>
      <c r="K533" s="819" t="e">
        <f t="shared" si="58"/>
        <v>#DIV/0!</v>
      </c>
    </row>
    <row r="534" spans="1:11" s="334" customFormat="1" ht="17.100000000000001" customHeight="1" x14ac:dyDescent="0.25">
      <c r="A534" s="137">
        <v>6</v>
      </c>
      <c r="B534" s="63" t="s">
        <v>54</v>
      </c>
      <c r="C534" s="942">
        <v>0</v>
      </c>
      <c r="D534" s="1030">
        <v>0</v>
      </c>
      <c r="E534" s="974">
        <v>0</v>
      </c>
      <c r="F534" s="974">
        <f t="shared" si="57"/>
        <v>0</v>
      </c>
      <c r="G534" s="951">
        <v>0</v>
      </c>
      <c r="H534" s="974">
        <v>0</v>
      </c>
      <c r="I534" s="819" t="e">
        <f t="shared" si="56"/>
        <v>#DIV/0!</v>
      </c>
      <c r="J534" s="819">
        <v>25</v>
      </c>
      <c r="K534" s="819" t="e">
        <f t="shared" si="58"/>
        <v>#DIV/0!</v>
      </c>
    </row>
    <row r="535" spans="1:11" s="334" customFormat="1" ht="17.100000000000001" customHeight="1" x14ac:dyDescent="0.25">
      <c r="A535" s="137">
        <v>7</v>
      </c>
      <c r="B535" s="63" t="s">
        <v>27</v>
      </c>
      <c r="C535" s="942">
        <v>1</v>
      </c>
      <c r="D535" s="943">
        <v>1</v>
      </c>
      <c r="E535" s="974">
        <v>303.5</v>
      </c>
      <c r="F535" s="974">
        <v>515900</v>
      </c>
      <c r="G535" s="974">
        <v>12481053</v>
      </c>
      <c r="H535" s="974">
        <v>50</v>
      </c>
      <c r="I535" s="819">
        <f t="shared" si="56"/>
        <v>1699.8352553542011</v>
      </c>
      <c r="J535" s="819" t="e">
        <v>#DIV/0!</v>
      </c>
      <c r="K535" s="819">
        <f t="shared" si="58"/>
        <v>41123.733113673807</v>
      </c>
    </row>
    <row r="536" spans="1:11" s="334" customFormat="1" ht="17.100000000000001" customHeight="1" x14ac:dyDescent="0.25">
      <c r="A536" s="137">
        <v>8</v>
      </c>
      <c r="B536" s="63" t="s">
        <v>25</v>
      </c>
      <c r="C536" s="942">
        <v>3</v>
      </c>
      <c r="D536" s="943">
        <v>68.67</v>
      </c>
      <c r="E536" s="974">
        <v>4263</v>
      </c>
      <c r="F536" s="974">
        <v>3623823</v>
      </c>
      <c r="G536" s="974">
        <v>3235557</v>
      </c>
      <c r="H536" s="974">
        <v>10</v>
      </c>
      <c r="I536" s="819">
        <f t="shared" si="56"/>
        <v>850.06403940886696</v>
      </c>
      <c r="J536" s="819" t="e">
        <v>#DIV/0!</v>
      </c>
      <c r="K536" s="819">
        <f t="shared" si="58"/>
        <v>758.9859254046446</v>
      </c>
    </row>
    <row r="537" spans="1:11" s="334" customFormat="1" ht="17.100000000000001" customHeight="1" x14ac:dyDescent="0.25">
      <c r="A537" s="137">
        <v>9</v>
      </c>
      <c r="B537" s="63" t="s">
        <v>40</v>
      </c>
      <c r="C537" s="942">
        <v>4</v>
      </c>
      <c r="D537" s="990">
        <v>16.190000000000001</v>
      </c>
      <c r="E537" s="974">
        <v>320793</v>
      </c>
      <c r="F537" s="974">
        <f t="shared" si="57"/>
        <v>192475800</v>
      </c>
      <c r="G537" s="951">
        <v>3247993</v>
      </c>
      <c r="H537" s="974">
        <v>10</v>
      </c>
      <c r="I537" s="819">
        <v>600</v>
      </c>
      <c r="J537" s="819">
        <v>600</v>
      </c>
      <c r="K537" s="819">
        <f t="shared" si="58"/>
        <v>10.124887388440522</v>
      </c>
    </row>
    <row r="538" spans="1:11" s="334" customFormat="1" ht="17.100000000000001" customHeight="1" x14ac:dyDescent="0.25">
      <c r="A538" s="137">
        <v>10</v>
      </c>
      <c r="B538" s="63" t="s">
        <v>41</v>
      </c>
      <c r="C538" s="942">
        <v>61</v>
      </c>
      <c r="D538" s="943">
        <v>282.52999999999997</v>
      </c>
      <c r="E538" s="974">
        <v>1292333</v>
      </c>
      <c r="F538" s="974">
        <f t="shared" si="57"/>
        <v>620319840.00000012</v>
      </c>
      <c r="G538" s="951">
        <v>58853232</v>
      </c>
      <c r="H538" s="974">
        <v>50</v>
      </c>
      <c r="I538" s="819">
        <f t="shared" si="56"/>
        <v>480.00000000000011</v>
      </c>
      <c r="J538" s="819">
        <v>480.00000000000006</v>
      </c>
      <c r="K538" s="819">
        <f t="shared" si="58"/>
        <v>45.540299597704305</v>
      </c>
    </row>
    <row r="539" spans="1:11" s="334" customFormat="1" ht="17.100000000000001" customHeight="1" x14ac:dyDescent="0.25">
      <c r="A539" s="137">
        <v>11</v>
      </c>
      <c r="B539" s="63" t="s">
        <v>44</v>
      </c>
      <c r="C539" s="942">
        <v>3</v>
      </c>
      <c r="D539" s="943">
        <v>13.84</v>
      </c>
      <c r="E539" s="974">
        <v>689175</v>
      </c>
      <c r="F539" s="974">
        <f t="shared" si="57"/>
        <v>372154500.00000006</v>
      </c>
      <c r="G539" s="951">
        <v>3707030</v>
      </c>
      <c r="H539" s="974">
        <v>15</v>
      </c>
      <c r="I539" s="819">
        <f t="shared" si="56"/>
        <v>540.00000000000011</v>
      </c>
      <c r="J539" s="819">
        <v>540.00000000000011</v>
      </c>
      <c r="K539" s="819">
        <f t="shared" si="58"/>
        <v>5.3789385859904959</v>
      </c>
    </row>
    <row r="540" spans="1:11" s="334" customFormat="1" ht="17.100000000000001" customHeight="1" x14ac:dyDescent="0.25">
      <c r="A540" s="137"/>
      <c r="B540" s="63" t="s">
        <v>75</v>
      </c>
      <c r="C540" s="942">
        <v>0</v>
      </c>
      <c r="D540" s="942">
        <v>0</v>
      </c>
      <c r="E540" s="942">
        <v>0</v>
      </c>
      <c r="F540" s="974">
        <v>0</v>
      </c>
      <c r="G540" s="942">
        <v>0</v>
      </c>
      <c r="H540" s="974">
        <v>0</v>
      </c>
      <c r="I540" s="819"/>
      <c r="J540" s="819"/>
      <c r="K540" s="819"/>
    </row>
    <row r="541" spans="1:11" s="334" customFormat="1" ht="17.100000000000001" customHeight="1" x14ac:dyDescent="0.25">
      <c r="A541" s="137"/>
      <c r="B541" s="63" t="s">
        <v>49</v>
      </c>
      <c r="C541" s="942">
        <v>0</v>
      </c>
      <c r="D541" s="942">
        <v>0</v>
      </c>
      <c r="E541" s="942">
        <v>0</v>
      </c>
      <c r="F541" s="974">
        <v>0</v>
      </c>
      <c r="G541" s="942">
        <v>0</v>
      </c>
      <c r="H541" s="974">
        <v>0</v>
      </c>
      <c r="I541" s="819"/>
      <c r="J541" s="819"/>
      <c r="K541" s="819"/>
    </row>
    <row r="542" spans="1:11" s="334" customFormat="1" ht="17.100000000000001" customHeight="1" x14ac:dyDescent="0.25">
      <c r="A542" s="1199" t="s">
        <v>50</v>
      </c>
      <c r="B542" s="1200"/>
      <c r="C542" s="381">
        <f>SUM(C529:C541)</f>
        <v>441</v>
      </c>
      <c r="D542" s="381">
        <f t="shared" ref="D542:H542" si="59">SUM(D529:D541)</f>
        <v>872.96</v>
      </c>
      <c r="E542" s="381">
        <f>SUM(E529:E541)</f>
        <v>19455019.719999999</v>
      </c>
      <c r="F542" s="381">
        <f>SUM(F529:F541)</f>
        <v>4727819605.5105352</v>
      </c>
      <c r="G542" s="822">
        <f>SUM(G529:G541)</f>
        <v>887119560</v>
      </c>
      <c r="H542" s="381">
        <f t="shared" si="59"/>
        <v>3720</v>
      </c>
      <c r="I542" s="819"/>
      <c r="J542" s="819"/>
      <c r="K542" s="819"/>
    </row>
    <row r="543" spans="1:11" s="334" customFormat="1" ht="17.100000000000001" customHeight="1" x14ac:dyDescent="0.25">
      <c r="A543" s="343"/>
      <c r="B543" s="349"/>
      <c r="C543" s="349"/>
      <c r="D543" s="350"/>
      <c r="E543" s="350"/>
      <c r="F543" s="351"/>
      <c r="G543" s="351"/>
      <c r="H543" s="347"/>
      <c r="I543" s="819"/>
      <c r="J543" s="819"/>
      <c r="K543" s="819"/>
    </row>
    <row r="544" spans="1:11" s="334" customFormat="1" ht="17.100000000000001" customHeight="1" x14ac:dyDescent="0.25">
      <c r="A544" s="1188" t="s">
        <v>108</v>
      </c>
      <c r="B544" s="1188"/>
      <c r="C544" s="1188"/>
      <c r="D544" s="1188"/>
      <c r="E544" s="1188"/>
      <c r="F544" s="1188"/>
      <c r="G544" s="1188"/>
      <c r="H544" s="1188"/>
      <c r="I544" s="819"/>
      <c r="J544" s="819"/>
      <c r="K544" s="819"/>
    </row>
    <row r="545" spans="1:11" s="334" customFormat="1" ht="17.100000000000001" customHeight="1" x14ac:dyDescent="0.25">
      <c r="A545" s="1184" t="s">
        <v>182</v>
      </c>
      <c r="B545" s="1184" t="s">
        <v>3</v>
      </c>
      <c r="C545" s="1184" t="s">
        <v>4</v>
      </c>
      <c r="D545" s="336" t="s">
        <v>5</v>
      </c>
      <c r="E545" s="337" t="s">
        <v>6</v>
      </c>
      <c r="F545" s="338" t="s">
        <v>7</v>
      </c>
      <c r="G545" s="338" t="s">
        <v>8</v>
      </c>
      <c r="H545" s="337" t="s">
        <v>9</v>
      </c>
      <c r="I545" s="819"/>
      <c r="J545" s="819"/>
      <c r="K545" s="819"/>
    </row>
    <row r="546" spans="1:11" s="334" customFormat="1" ht="17.100000000000001" customHeight="1" x14ac:dyDescent="0.25">
      <c r="A546" s="1185"/>
      <c r="B546" s="1185"/>
      <c r="C546" s="1185"/>
      <c r="D546" s="302" t="s">
        <v>380</v>
      </c>
      <c r="E546" s="339" t="s">
        <v>79</v>
      </c>
      <c r="F546" s="340" t="s">
        <v>632</v>
      </c>
      <c r="G546" s="340" t="s">
        <v>671</v>
      </c>
      <c r="H546" s="303" t="s">
        <v>13</v>
      </c>
      <c r="I546" s="819"/>
      <c r="J546" s="819"/>
      <c r="K546" s="819"/>
    </row>
    <row r="547" spans="1:11" s="334" customFormat="1" ht="17.100000000000001" customHeight="1" x14ac:dyDescent="0.25">
      <c r="A547" s="206">
        <v>1</v>
      </c>
      <c r="B547" s="63" t="s">
        <v>479</v>
      </c>
      <c r="C547" s="942">
        <v>1</v>
      </c>
      <c r="D547" s="942">
        <v>0.42</v>
      </c>
      <c r="E547" s="942">
        <v>3457</v>
      </c>
      <c r="F547" s="942">
        <v>3457440</v>
      </c>
      <c r="G547" s="942">
        <v>30870</v>
      </c>
      <c r="H547" s="942">
        <v>0</v>
      </c>
      <c r="I547" s="819">
        <f t="shared" si="56"/>
        <v>1000.1272779866937</v>
      </c>
      <c r="J547" s="819">
        <v>828.86369047619053</v>
      </c>
      <c r="K547" s="819">
        <f t="shared" si="58"/>
        <v>8.9297078391669071</v>
      </c>
    </row>
    <row r="548" spans="1:11" s="334" customFormat="1" ht="17.100000000000001" customHeight="1" x14ac:dyDescent="0.25">
      <c r="A548" s="143">
        <v>2</v>
      </c>
      <c r="B548" s="63" t="s">
        <v>60</v>
      </c>
      <c r="C548" s="942">
        <v>1</v>
      </c>
      <c r="D548" s="942">
        <v>119</v>
      </c>
      <c r="E548" s="942">
        <v>26112</v>
      </c>
      <c r="F548" s="942">
        <v>9139228</v>
      </c>
      <c r="G548" s="942">
        <v>3789790</v>
      </c>
      <c r="H548" s="942">
        <v>500</v>
      </c>
      <c r="I548" s="819">
        <f t="shared" si="56"/>
        <v>350.00107230392155</v>
      </c>
      <c r="J548" s="819">
        <v>355.00267722473609</v>
      </c>
      <c r="K548" s="819">
        <f t="shared" si="58"/>
        <v>145.13595281862746</v>
      </c>
    </row>
    <row r="549" spans="1:11" s="334" customFormat="1" ht="17.100000000000001" customHeight="1" x14ac:dyDescent="0.25">
      <c r="A549" s="143">
        <v>3</v>
      </c>
      <c r="B549" s="63" t="s">
        <v>545</v>
      </c>
      <c r="C549" s="942">
        <v>0</v>
      </c>
      <c r="D549" s="942">
        <v>0</v>
      </c>
      <c r="E549" s="942">
        <v>1038</v>
      </c>
      <c r="F549" s="942">
        <v>1193298</v>
      </c>
      <c r="G549" s="942">
        <v>136377</v>
      </c>
      <c r="H549" s="942">
        <v>250</v>
      </c>
      <c r="I549" s="819">
        <f t="shared" si="56"/>
        <v>1149.6127167630059</v>
      </c>
      <c r="J549" s="819">
        <v>1252</v>
      </c>
      <c r="K549" s="819">
        <f t="shared" si="58"/>
        <v>131.38439306358381</v>
      </c>
    </row>
    <row r="550" spans="1:11" s="334" customFormat="1" ht="17.100000000000001" customHeight="1" x14ac:dyDescent="0.25">
      <c r="A550" s="206">
        <v>4</v>
      </c>
      <c r="B550" s="63" t="s">
        <v>63</v>
      </c>
      <c r="C550" s="942">
        <v>5</v>
      </c>
      <c r="D550" s="942">
        <v>5.17</v>
      </c>
      <c r="E550" s="942">
        <f>895+4308</f>
        <v>5203</v>
      </c>
      <c r="F550" s="942">
        <f>E550*190</f>
        <v>988570</v>
      </c>
      <c r="G550" s="942">
        <f>35802+35801+43301</f>
        <v>114904</v>
      </c>
      <c r="H550" s="942">
        <v>40</v>
      </c>
      <c r="I550" s="819">
        <f t="shared" si="56"/>
        <v>190</v>
      </c>
      <c r="J550" s="819">
        <v>180</v>
      </c>
      <c r="K550" s="819">
        <f t="shared" si="58"/>
        <v>22.084182202575438</v>
      </c>
    </row>
    <row r="551" spans="1:11" s="334" customFormat="1" ht="17.100000000000001" customHeight="1" x14ac:dyDescent="0.25">
      <c r="A551" s="143">
        <v>5</v>
      </c>
      <c r="B551" s="63" t="s">
        <v>62</v>
      </c>
      <c r="C551" s="942">
        <v>13</v>
      </c>
      <c r="D551" s="942">
        <v>46.39</v>
      </c>
      <c r="E551" s="942">
        <v>2428</v>
      </c>
      <c r="F551" s="942">
        <v>4491929</v>
      </c>
      <c r="G551" s="942">
        <v>5654191</v>
      </c>
      <c r="H551" s="942">
        <v>350</v>
      </c>
      <c r="I551" s="819">
        <f t="shared" si="56"/>
        <v>1850.0531301482702</v>
      </c>
      <c r="J551" s="819">
        <v>1850.1948127925118</v>
      </c>
      <c r="K551" s="819">
        <f t="shared" si="58"/>
        <v>2328.744233937397</v>
      </c>
    </row>
    <row r="552" spans="1:11" s="334" customFormat="1" ht="17.100000000000001" customHeight="1" x14ac:dyDescent="0.25">
      <c r="A552" s="143">
        <v>6</v>
      </c>
      <c r="B552" s="63" t="s">
        <v>58</v>
      </c>
      <c r="C552" s="942">
        <v>1</v>
      </c>
      <c r="D552" s="942">
        <v>3</v>
      </c>
      <c r="E552" s="942">
        <v>0</v>
      </c>
      <c r="F552" s="942">
        <v>0</v>
      </c>
      <c r="G552" s="942">
        <v>0</v>
      </c>
      <c r="H552" s="942">
        <v>0</v>
      </c>
      <c r="I552" s="819" t="e">
        <f t="shared" si="56"/>
        <v>#DIV/0!</v>
      </c>
      <c r="J552" s="819">
        <v>2100.9337485549136</v>
      </c>
      <c r="K552" s="819" t="e">
        <f t="shared" si="58"/>
        <v>#DIV/0!</v>
      </c>
    </row>
    <row r="553" spans="1:11" s="334" customFormat="1" ht="17.100000000000001" customHeight="1" x14ac:dyDescent="0.25">
      <c r="A553" s="206">
        <v>7</v>
      </c>
      <c r="B553" s="313" t="s">
        <v>67</v>
      </c>
      <c r="C553" s="942">
        <v>0</v>
      </c>
      <c r="D553" s="942">
        <v>0</v>
      </c>
      <c r="E553" s="942">
        <v>682392</v>
      </c>
      <c r="F553" s="942">
        <v>443554235</v>
      </c>
      <c r="G553" s="942">
        <v>112346542</v>
      </c>
      <c r="H553" s="942">
        <v>1500</v>
      </c>
      <c r="I553" s="819">
        <f t="shared" si="56"/>
        <v>649.99917203015275</v>
      </c>
      <c r="J553" s="819">
        <v>190</v>
      </c>
      <c r="K553" s="819">
        <f t="shared" si="58"/>
        <v>164.63637029742435</v>
      </c>
    </row>
    <row r="554" spans="1:11" s="334" customFormat="1" ht="17.100000000000001" customHeight="1" x14ac:dyDescent="0.25">
      <c r="A554" s="143">
        <v>8</v>
      </c>
      <c r="B554" s="63" t="s">
        <v>614</v>
      </c>
      <c r="C554" s="942">
        <v>4</v>
      </c>
      <c r="D554" s="942">
        <v>3.6</v>
      </c>
      <c r="E554" s="942">
        <v>27622</v>
      </c>
      <c r="F554" s="942">
        <v>15192100</v>
      </c>
      <c r="G554" s="942">
        <v>4972000</v>
      </c>
      <c r="H554" s="942">
        <v>50</v>
      </c>
      <c r="I554" s="819">
        <v>290</v>
      </c>
      <c r="J554" s="819">
        <v>285.00018925890203</v>
      </c>
      <c r="K554" s="819">
        <f t="shared" si="58"/>
        <v>180.00144812106291</v>
      </c>
    </row>
    <row r="555" spans="1:11" s="334" customFormat="1" ht="17.100000000000001" customHeight="1" x14ac:dyDescent="0.25">
      <c r="A555" s="143">
        <v>9</v>
      </c>
      <c r="B555" s="274" t="s">
        <v>164</v>
      </c>
      <c r="C555" s="942">
        <v>36</v>
      </c>
      <c r="D555" s="942">
        <v>224.07</v>
      </c>
      <c r="E555" s="942">
        <v>417231</v>
      </c>
      <c r="F555" s="942">
        <v>108480060</v>
      </c>
      <c r="G555" s="942">
        <v>9692580</v>
      </c>
      <c r="H555" s="942">
        <v>2500</v>
      </c>
      <c r="I555" s="819">
        <f t="shared" si="56"/>
        <v>260</v>
      </c>
      <c r="J555" s="819">
        <v>260</v>
      </c>
      <c r="K555" s="819">
        <f t="shared" si="58"/>
        <v>23.230728301588329</v>
      </c>
    </row>
    <row r="556" spans="1:11" s="334" customFormat="1" ht="17.100000000000001" customHeight="1" x14ac:dyDescent="0.25">
      <c r="A556" s="206">
        <v>10</v>
      </c>
      <c r="B556" s="274" t="s">
        <v>26</v>
      </c>
      <c r="C556" s="942">
        <v>24</v>
      </c>
      <c r="D556" s="942">
        <f>128.27+35.77</f>
        <v>164.04000000000002</v>
      </c>
      <c r="E556" s="942">
        <f>80769+1435+31149+5538+466+101422+301706</f>
        <v>522485</v>
      </c>
      <c r="F556" s="942">
        <f>E556*460</f>
        <v>240343100</v>
      </c>
      <c r="G556" s="942">
        <f>11888694+2299610+178662+122232+1272206+68623+4057734</f>
        <v>19887761</v>
      </c>
      <c r="H556" s="942">
        <v>1200</v>
      </c>
      <c r="I556" s="819">
        <f t="shared" si="56"/>
        <v>460</v>
      </c>
      <c r="J556" s="819">
        <v>434.99944448228882</v>
      </c>
      <c r="K556" s="819">
        <f t="shared" si="58"/>
        <v>38.063793218944085</v>
      </c>
    </row>
    <row r="557" spans="1:11" s="334" customFormat="1" ht="17.100000000000001" customHeight="1" x14ac:dyDescent="0.25">
      <c r="A557" s="143">
        <v>11</v>
      </c>
      <c r="B557" s="274" t="s">
        <v>170</v>
      </c>
      <c r="C557" s="942">
        <v>4</v>
      </c>
      <c r="D557" s="942">
        <v>5</v>
      </c>
      <c r="E557" s="942">
        <v>785.44</v>
      </c>
      <c r="F557" s="942">
        <f>E557*490</f>
        <v>384865.60000000003</v>
      </c>
      <c r="G557" s="942">
        <v>176085</v>
      </c>
      <c r="H557" s="942">
        <v>250</v>
      </c>
      <c r="I557" s="819">
        <f t="shared" si="56"/>
        <v>490</v>
      </c>
      <c r="J557" s="819">
        <v>599.99954676459652</v>
      </c>
      <c r="K557" s="819">
        <f t="shared" si="58"/>
        <v>224.18644326746789</v>
      </c>
    </row>
    <row r="558" spans="1:11" s="334" customFormat="1" ht="17.100000000000001" customHeight="1" x14ac:dyDescent="0.25">
      <c r="A558" s="143"/>
      <c r="B558" s="63" t="s">
        <v>75</v>
      </c>
      <c r="C558" s="942">
        <v>0</v>
      </c>
      <c r="D558" s="942">
        <v>0</v>
      </c>
      <c r="E558" s="942"/>
      <c r="F558" s="942"/>
      <c r="G558" s="942">
        <v>52488803</v>
      </c>
      <c r="H558" s="942"/>
      <c r="I558" s="819"/>
      <c r="J558" s="819"/>
      <c r="K558" s="819"/>
    </row>
    <row r="559" spans="1:11" s="334" customFormat="1" ht="17.100000000000001" customHeight="1" x14ac:dyDescent="0.25">
      <c r="A559" s="143"/>
      <c r="B559" s="63" t="s">
        <v>49</v>
      </c>
      <c r="C559" s="942">
        <v>0</v>
      </c>
      <c r="D559" s="942">
        <v>0</v>
      </c>
      <c r="E559" s="942"/>
      <c r="F559" s="942"/>
      <c r="G559" s="942">
        <v>83017523</v>
      </c>
      <c r="H559" s="942"/>
      <c r="I559" s="819"/>
      <c r="J559" s="819"/>
      <c r="K559" s="819"/>
    </row>
    <row r="560" spans="1:11" s="334" customFormat="1" ht="17.100000000000001" customHeight="1" x14ac:dyDescent="0.25">
      <c r="A560" s="1182" t="s">
        <v>50</v>
      </c>
      <c r="B560" s="1183"/>
      <c r="C560" s="335">
        <f>SUM(C547:C559)</f>
        <v>89</v>
      </c>
      <c r="D560" s="335">
        <f t="shared" ref="D560:H560" si="60">SUM(D547:D559)</f>
        <v>570.69000000000005</v>
      </c>
      <c r="E560" s="335">
        <f t="shared" si="60"/>
        <v>1688753.44</v>
      </c>
      <c r="F560" s="335">
        <f>SUM(F547:F559)</f>
        <v>827224825.60000002</v>
      </c>
      <c r="G560" s="371">
        <f>SUM(G547:G559)</f>
        <v>292307426</v>
      </c>
      <c r="H560" s="335">
        <f t="shared" si="60"/>
        <v>6640</v>
      </c>
      <c r="I560" s="819"/>
      <c r="J560" s="819"/>
      <c r="K560" s="819"/>
    </row>
    <row r="561" spans="1:13" s="334" customFormat="1" ht="17.100000000000001" customHeight="1" x14ac:dyDescent="0.25">
      <c r="A561" s="343"/>
      <c r="B561" s="344"/>
      <c r="C561" s="344"/>
      <c r="D561" s="345"/>
      <c r="E561" s="345"/>
      <c r="F561" s="346"/>
      <c r="G561" s="351"/>
      <c r="H561" s="347"/>
      <c r="I561" s="819"/>
      <c r="J561" s="819"/>
      <c r="K561" s="819"/>
    </row>
    <row r="562" spans="1:13" s="334" customFormat="1" ht="17.100000000000001" customHeight="1" x14ac:dyDescent="0.25">
      <c r="A562" s="1197" t="s">
        <v>111</v>
      </c>
      <c r="B562" s="1197"/>
      <c r="C562" s="1197"/>
      <c r="D562" s="1197"/>
      <c r="E562" s="1197"/>
      <c r="F562" s="1197"/>
      <c r="G562" s="1197"/>
      <c r="H562" s="1197"/>
      <c r="I562" s="819"/>
      <c r="J562" s="819"/>
      <c r="K562" s="819"/>
    </row>
    <row r="563" spans="1:13" s="334" customFormat="1" ht="17.100000000000001" customHeight="1" x14ac:dyDescent="0.25">
      <c r="A563" s="1184" t="s">
        <v>182</v>
      </c>
      <c r="B563" s="1184" t="s">
        <v>3</v>
      </c>
      <c r="C563" s="1184" t="s">
        <v>4</v>
      </c>
      <c r="D563" s="336" t="s">
        <v>5</v>
      </c>
      <c r="E563" s="337" t="s">
        <v>6</v>
      </c>
      <c r="F563" s="338" t="s">
        <v>7</v>
      </c>
      <c r="G563" s="338" t="s">
        <v>8</v>
      </c>
      <c r="H563" s="337" t="s">
        <v>9</v>
      </c>
      <c r="I563" s="819"/>
      <c r="J563" s="819"/>
      <c r="K563" s="819"/>
    </row>
    <row r="564" spans="1:13" s="334" customFormat="1" ht="17.100000000000001" customHeight="1" x14ac:dyDescent="0.25">
      <c r="A564" s="1185"/>
      <c r="B564" s="1185"/>
      <c r="C564" s="1185"/>
      <c r="D564" s="302" t="s">
        <v>380</v>
      </c>
      <c r="E564" s="339" t="s">
        <v>79</v>
      </c>
      <c r="F564" s="340" t="s">
        <v>632</v>
      </c>
      <c r="G564" s="340" t="s">
        <v>671</v>
      </c>
      <c r="H564" s="303" t="s">
        <v>13</v>
      </c>
      <c r="I564" s="819"/>
      <c r="J564" s="819"/>
      <c r="K564" s="819"/>
    </row>
    <row r="565" spans="1:13" s="334" customFormat="1" ht="17.100000000000001" customHeight="1" x14ac:dyDescent="0.25">
      <c r="A565" s="206">
        <v>1</v>
      </c>
      <c r="B565" s="63" t="s">
        <v>62</v>
      </c>
      <c r="C565" s="942">
        <v>17</v>
      </c>
      <c r="D565" s="942">
        <v>33</v>
      </c>
      <c r="E565" s="942">
        <v>387385</v>
      </c>
      <c r="F565" s="942">
        <f>E565*1850</f>
        <v>716662250</v>
      </c>
      <c r="G565" s="942">
        <f>E565*210</f>
        <v>81350850</v>
      </c>
      <c r="H565" s="942">
        <v>350</v>
      </c>
      <c r="I565" s="819">
        <v>1800</v>
      </c>
      <c r="J565" s="819">
        <v>1850</v>
      </c>
      <c r="K565" s="819">
        <f t="shared" si="58"/>
        <v>210</v>
      </c>
      <c r="L565" s="1073" t="s">
        <v>660</v>
      </c>
      <c r="M565" s="1074">
        <v>2647997.3899999997</v>
      </c>
    </row>
    <row r="566" spans="1:13" s="334" customFormat="1" ht="17.100000000000001" customHeight="1" x14ac:dyDescent="0.25">
      <c r="A566" s="143">
        <v>2</v>
      </c>
      <c r="B566" s="63" t="s">
        <v>60</v>
      </c>
      <c r="C566" s="942">
        <v>7</v>
      </c>
      <c r="D566" s="942">
        <v>6.48</v>
      </c>
      <c r="E566" s="942">
        <v>40.94</v>
      </c>
      <c r="F566" s="942">
        <f>E566*350</f>
        <v>14329</v>
      </c>
      <c r="G566" s="942">
        <f>E566*98</f>
        <v>4012.12</v>
      </c>
      <c r="H566" s="942">
        <v>10</v>
      </c>
      <c r="I566" s="1049">
        <f t="shared" si="56"/>
        <v>350</v>
      </c>
      <c r="J566" s="1049">
        <v>1195</v>
      </c>
      <c r="K566" s="819">
        <f t="shared" si="58"/>
        <v>98</v>
      </c>
      <c r="L566" s="1075" t="s">
        <v>27</v>
      </c>
      <c r="M566">
        <v>11.06</v>
      </c>
    </row>
    <row r="567" spans="1:13" s="334" customFormat="1" ht="17.100000000000001" customHeight="1" x14ac:dyDescent="0.25">
      <c r="A567" s="206">
        <v>3</v>
      </c>
      <c r="B567" s="63" t="s">
        <v>63</v>
      </c>
      <c r="C567" s="942">
        <v>29</v>
      </c>
      <c r="D567" s="942">
        <v>35.19</v>
      </c>
      <c r="E567" s="942">
        <v>601146</v>
      </c>
      <c r="F567" s="942">
        <f>E567*205</f>
        <v>123234930</v>
      </c>
      <c r="G567" s="942">
        <f>E567*33</f>
        <v>19837818</v>
      </c>
      <c r="H567" s="942">
        <v>350</v>
      </c>
      <c r="I567" s="819">
        <f t="shared" si="56"/>
        <v>205</v>
      </c>
      <c r="J567" s="819">
        <v>185</v>
      </c>
      <c r="K567" s="819">
        <f t="shared" si="58"/>
        <v>33</v>
      </c>
      <c r="L567" s="1075" t="s">
        <v>35</v>
      </c>
      <c r="M567">
        <v>21.92</v>
      </c>
    </row>
    <row r="568" spans="1:13" s="334" customFormat="1" ht="17.100000000000001" customHeight="1" x14ac:dyDescent="0.25">
      <c r="A568" s="143">
        <v>4</v>
      </c>
      <c r="B568" s="313" t="s">
        <v>67</v>
      </c>
      <c r="C568" s="942">
        <v>2</v>
      </c>
      <c r="D568" s="942">
        <v>40.5</v>
      </c>
      <c r="E568" s="942">
        <v>2308</v>
      </c>
      <c r="F568" s="942">
        <f>E568*700</f>
        <v>1615600</v>
      </c>
      <c r="G568" s="942">
        <f>E568*52</f>
        <v>120016</v>
      </c>
      <c r="H568" s="942">
        <v>10</v>
      </c>
      <c r="I568" s="819">
        <f t="shared" si="56"/>
        <v>700</v>
      </c>
      <c r="J568" s="819">
        <v>690</v>
      </c>
      <c r="K568" s="819">
        <f t="shared" si="58"/>
        <v>52</v>
      </c>
      <c r="L568" s="1075" t="s">
        <v>208</v>
      </c>
      <c r="M568">
        <v>19.02</v>
      </c>
    </row>
    <row r="569" spans="1:13" s="334" customFormat="1" ht="17.100000000000001" customHeight="1" x14ac:dyDescent="0.25">
      <c r="A569" s="206">
        <v>5</v>
      </c>
      <c r="B569" s="63" t="s">
        <v>59</v>
      </c>
      <c r="C569" s="942">
        <v>0</v>
      </c>
      <c r="D569" s="942">
        <v>0</v>
      </c>
      <c r="E569" s="942">
        <v>0</v>
      </c>
      <c r="F569" s="942">
        <v>0</v>
      </c>
      <c r="G569" s="942">
        <v>0</v>
      </c>
      <c r="H569" s="942">
        <v>0</v>
      </c>
      <c r="I569" s="819">
        <v>280</v>
      </c>
      <c r="J569" s="819">
        <v>300</v>
      </c>
      <c r="K569" s="819" t="e">
        <f t="shared" si="58"/>
        <v>#DIV/0!</v>
      </c>
      <c r="L569" s="1075" t="s">
        <v>62</v>
      </c>
      <c r="M569">
        <v>387385.8</v>
      </c>
    </row>
    <row r="570" spans="1:13" s="334" customFormat="1" ht="17.100000000000001" customHeight="1" x14ac:dyDescent="0.25">
      <c r="A570" s="143">
        <v>6</v>
      </c>
      <c r="B570" s="63" t="s">
        <v>27</v>
      </c>
      <c r="C570" s="942">
        <v>0</v>
      </c>
      <c r="D570" s="942">
        <v>0</v>
      </c>
      <c r="E570" s="942">
        <v>11.06</v>
      </c>
      <c r="F570" s="942">
        <f>E570*1800</f>
        <v>19908</v>
      </c>
      <c r="G570" s="942">
        <f>E570*253</f>
        <v>2798.1800000000003</v>
      </c>
      <c r="H570" s="942">
        <v>0</v>
      </c>
      <c r="I570" s="819">
        <f t="shared" si="56"/>
        <v>1800</v>
      </c>
      <c r="J570" s="819" t="e">
        <v>#DIV/0!</v>
      </c>
      <c r="K570" s="819">
        <f t="shared" si="58"/>
        <v>253.00000000000003</v>
      </c>
      <c r="L570" s="1075" t="s">
        <v>661</v>
      </c>
      <c r="M570">
        <v>465950.52</v>
      </c>
    </row>
    <row r="571" spans="1:13" s="334" customFormat="1" ht="17.100000000000001" customHeight="1" x14ac:dyDescent="0.25">
      <c r="A571" s="206">
        <v>7</v>
      </c>
      <c r="B571" s="63" t="s">
        <v>65</v>
      </c>
      <c r="C571" s="942">
        <v>0</v>
      </c>
      <c r="D571" s="942">
        <v>0</v>
      </c>
      <c r="E571" s="942">
        <v>0</v>
      </c>
      <c r="F571" s="942">
        <v>0</v>
      </c>
      <c r="G571" s="942">
        <v>0</v>
      </c>
      <c r="H571" s="942">
        <v>0</v>
      </c>
      <c r="I571" s="819" t="e">
        <f t="shared" si="56"/>
        <v>#DIV/0!</v>
      </c>
      <c r="J571" s="819">
        <v>30.000000003645543</v>
      </c>
      <c r="K571" s="819" t="e">
        <f t="shared" si="58"/>
        <v>#DIV/0!</v>
      </c>
      <c r="L571" s="1075" t="s">
        <v>662</v>
      </c>
      <c r="M571">
        <v>135196.11000000002</v>
      </c>
    </row>
    <row r="572" spans="1:13" s="334" customFormat="1" ht="17.100000000000001" customHeight="1" x14ac:dyDescent="0.25">
      <c r="A572" s="143">
        <v>8</v>
      </c>
      <c r="B572" s="273" t="s">
        <v>46</v>
      </c>
      <c r="C572" s="942">
        <v>24</v>
      </c>
      <c r="D572" s="942">
        <v>1093.83</v>
      </c>
      <c r="E572" s="942">
        <v>110329</v>
      </c>
      <c r="F572" s="942">
        <f>E572*1345</f>
        <v>148392505</v>
      </c>
      <c r="G572" s="942">
        <f>E572*284</f>
        <v>31333436</v>
      </c>
      <c r="H572" s="942">
        <v>200</v>
      </c>
      <c r="I572" s="819">
        <f t="shared" si="56"/>
        <v>1345</v>
      </c>
      <c r="J572" s="819">
        <v>1360</v>
      </c>
      <c r="K572" s="819">
        <f t="shared" si="58"/>
        <v>284</v>
      </c>
      <c r="L572" s="1075" t="s">
        <v>663</v>
      </c>
      <c r="M572">
        <v>2308.5</v>
      </c>
    </row>
    <row r="573" spans="1:13" s="334" customFormat="1" ht="17.100000000000001" customHeight="1" x14ac:dyDescent="0.25">
      <c r="A573" s="206">
        <v>9</v>
      </c>
      <c r="B573" s="273" t="s">
        <v>164</v>
      </c>
      <c r="C573" s="942">
        <v>46</v>
      </c>
      <c r="D573" s="942">
        <v>530.66</v>
      </c>
      <c r="E573" s="942">
        <v>1546238</v>
      </c>
      <c r="F573" s="942">
        <f>E573*257</f>
        <v>397383166</v>
      </c>
      <c r="G573" s="942">
        <f>E573*21</f>
        <v>32470998</v>
      </c>
      <c r="H573" s="942">
        <v>300</v>
      </c>
      <c r="I573" s="819">
        <f t="shared" si="56"/>
        <v>257</v>
      </c>
      <c r="J573" s="819">
        <v>264.99999999999994</v>
      </c>
      <c r="K573" s="819">
        <f t="shared" si="58"/>
        <v>21</v>
      </c>
      <c r="L573" s="1075" t="s">
        <v>40</v>
      </c>
      <c r="M573">
        <v>536.28</v>
      </c>
    </row>
    <row r="574" spans="1:13" s="334" customFormat="1" ht="17.100000000000001" customHeight="1" x14ac:dyDescent="0.25">
      <c r="A574" s="143">
        <v>10</v>
      </c>
      <c r="B574" s="63" t="s">
        <v>25</v>
      </c>
      <c r="C574" s="942">
        <v>0</v>
      </c>
      <c r="D574" s="942">
        <v>0</v>
      </c>
      <c r="E574" s="942">
        <v>0</v>
      </c>
      <c r="F574" s="942">
        <v>0</v>
      </c>
      <c r="G574" s="942">
        <v>0</v>
      </c>
      <c r="H574" s="942">
        <v>0</v>
      </c>
      <c r="I574" s="819" t="e">
        <f t="shared" si="56"/>
        <v>#DIV/0!</v>
      </c>
      <c r="J574" s="819"/>
      <c r="K574" s="819" t="e">
        <f t="shared" si="58"/>
        <v>#DIV/0!</v>
      </c>
      <c r="L574" s="1075" t="s">
        <v>164</v>
      </c>
      <c r="M574">
        <v>1546238.3199999998</v>
      </c>
    </row>
    <row r="575" spans="1:13" s="334" customFormat="1" ht="17.100000000000001" customHeight="1" x14ac:dyDescent="0.25">
      <c r="A575" s="206">
        <v>11</v>
      </c>
      <c r="B575" s="330" t="s">
        <v>455</v>
      </c>
      <c r="C575" s="942">
        <v>0</v>
      </c>
      <c r="D575" s="942">
        <v>0</v>
      </c>
      <c r="E575" s="942">
        <v>536</v>
      </c>
      <c r="F575" s="942">
        <f>E575*483</f>
        <v>258888</v>
      </c>
      <c r="G575" s="942">
        <f>E575*100</f>
        <v>53600</v>
      </c>
      <c r="H575" s="942">
        <v>10</v>
      </c>
      <c r="I575" s="819"/>
      <c r="J575" s="819"/>
      <c r="K575" s="819"/>
      <c r="L575" s="1075" t="s">
        <v>46</v>
      </c>
      <c r="M575">
        <v>110329.86</v>
      </c>
    </row>
    <row r="576" spans="1:13" s="334" customFormat="1" ht="17.100000000000001" customHeight="1" x14ac:dyDescent="0.25">
      <c r="A576" s="620">
        <v>12</v>
      </c>
      <c r="B576" s="196" t="s">
        <v>147</v>
      </c>
      <c r="C576" s="942">
        <v>0</v>
      </c>
      <c r="D576" s="942">
        <v>0</v>
      </c>
      <c r="E576" s="942"/>
      <c r="F576" s="942"/>
      <c r="G576" s="942">
        <v>0</v>
      </c>
      <c r="H576" s="942"/>
      <c r="I576" s="819"/>
      <c r="J576" s="819"/>
      <c r="K576" s="819"/>
    </row>
    <row r="577" spans="1:11" s="334" customFormat="1" ht="17.100000000000001" customHeight="1" x14ac:dyDescent="0.25">
      <c r="A577" s="143"/>
      <c r="B577" s="236" t="s">
        <v>75</v>
      </c>
      <c r="C577" s="942">
        <v>0</v>
      </c>
      <c r="D577" s="942">
        <v>0</v>
      </c>
      <c r="E577" s="942"/>
      <c r="F577" s="942"/>
      <c r="G577" s="942">
        <v>12377515</v>
      </c>
      <c r="H577" s="942"/>
      <c r="I577" s="819"/>
      <c r="J577" s="819"/>
      <c r="K577" s="819"/>
    </row>
    <row r="578" spans="1:11" s="334" customFormat="1" ht="17.100000000000001" customHeight="1" x14ac:dyDescent="0.25">
      <c r="A578" s="143"/>
      <c r="B578" s="63" t="s">
        <v>49</v>
      </c>
      <c r="C578" s="942">
        <v>0</v>
      </c>
      <c r="D578" s="942">
        <v>0</v>
      </c>
      <c r="E578" s="942"/>
      <c r="F578" s="942"/>
      <c r="G578" s="942">
        <v>10312018</v>
      </c>
      <c r="H578" s="942"/>
      <c r="I578" s="819"/>
      <c r="J578" s="819"/>
      <c r="K578" s="819"/>
    </row>
    <row r="579" spans="1:11" s="334" customFormat="1" ht="17.100000000000001" customHeight="1" x14ac:dyDescent="0.25">
      <c r="A579" s="1182" t="s">
        <v>50</v>
      </c>
      <c r="B579" s="1183"/>
      <c r="C579" s="335">
        <f>SUM(C565:C578)</f>
        <v>125</v>
      </c>
      <c r="D579" s="335">
        <f t="shared" ref="D579:H579" si="61">SUM(D565:D578)</f>
        <v>1739.6599999999999</v>
      </c>
      <c r="E579" s="335">
        <f t="shared" si="61"/>
        <v>2647994</v>
      </c>
      <c r="F579" s="371">
        <f>SUM(F565:F578)</f>
        <v>1387581576</v>
      </c>
      <c r="G579" s="371">
        <f>SUM(G565:G578)</f>
        <v>187863061.30000001</v>
      </c>
      <c r="H579" s="335">
        <f t="shared" si="61"/>
        <v>1230</v>
      </c>
      <c r="I579" s="819"/>
      <c r="J579" s="819"/>
      <c r="K579" s="819"/>
    </row>
    <row r="580" spans="1:11" s="334" customFormat="1" ht="17.100000000000001" customHeight="1" x14ac:dyDescent="0.25">
      <c r="A580" s="343"/>
      <c r="B580" s="344"/>
      <c r="C580" s="344"/>
      <c r="D580" s="345"/>
      <c r="E580" s="345"/>
      <c r="F580" s="346"/>
      <c r="G580" s="351"/>
      <c r="H580" s="347"/>
      <c r="I580" s="819"/>
      <c r="J580" s="819"/>
      <c r="K580" s="819"/>
    </row>
    <row r="581" spans="1:11" s="387" customFormat="1" ht="17.100000000000001" customHeight="1" x14ac:dyDescent="0.25">
      <c r="A581" s="1189" t="s">
        <v>98</v>
      </c>
      <c r="B581" s="1189"/>
      <c r="C581" s="1189"/>
      <c r="D581" s="1189"/>
      <c r="E581" s="1189"/>
      <c r="F581" s="1189"/>
      <c r="G581" s="1189"/>
      <c r="H581" s="1189"/>
      <c r="I581" s="828"/>
      <c r="J581" s="819"/>
      <c r="K581" s="828"/>
    </row>
    <row r="582" spans="1:11" s="334" customFormat="1" ht="17.100000000000001" customHeight="1" x14ac:dyDescent="0.25">
      <c r="A582" s="1184" t="s">
        <v>182</v>
      </c>
      <c r="B582" s="1184" t="s">
        <v>3</v>
      </c>
      <c r="C582" s="1184" t="s">
        <v>4</v>
      </c>
      <c r="D582" s="336" t="s">
        <v>5</v>
      </c>
      <c r="E582" s="337" t="s">
        <v>6</v>
      </c>
      <c r="F582" s="338" t="s">
        <v>7</v>
      </c>
      <c r="G582" s="338" t="s">
        <v>8</v>
      </c>
      <c r="H582" s="337" t="s">
        <v>9</v>
      </c>
      <c r="I582" s="819"/>
      <c r="J582" s="819"/>
      <c r="K582" s="819"/>
    </row>
    <row r="583" spans="1:11" s="334" customFormat="1" ht="17.100000000000001" customHeight="1" x14ac:dyDescent="0.25">
      <c r="A583" s="1185"/>
      <c r="B583" s="1185"/>
      <c r="C583" s="1196"/>
      <c r="D583" s="947" t="s">
        <v>380</v>
      </c>
      <c r="E583" s="339" t="s">
        <v>79</v>
      </c>
      <c r="F583" s="948" t="s">
        <v>632</v>
      </c>
      <c r="G583" s="948" t="s">
        <v>671</v>
      </c>
      <c r="H583" s="339" t="s">
        <v>13</v>
      </c>
      <c r="I583" s="819"/>
      <c r="J583" s="819"/>
      <c r="K583" s="819"/>
    </row>
    <row r="584" spans="1:11" s="334" customFormat="1" ht="17.100000000000001" customHeight="1" x14ac:dyDescent="0.25">
      <c r="A584" s="206">
        <v>1</v>
      </c>
      <c r="B584" s="276" t="s">
        <v>62</v>
      </c>
      <c r="C584" s="1009">
        <v>503</v>
      </c>
      <c r="D584" s="1010">
        <v>726.86</v>
      </c>
      <c r="E584" s="1030">
        <v>1794404</v>
      </c>
      <c r="F584" s="942">
        <v>3409367562</v>
      </c>
      <c r="G584" s="1030">
        <v>928404000</v>
      </c>
      <c r="H584" s="1030">
        <v>4635</v>
      </c>
      <c r="I584" s="819">
        <f t="shared" si="56"/>
        <v>1899.9999788230521</v>
      </c>
      <c r="J584" s="819">
        <v>1980</v>
      </c>
      <c r="K584" s="819">
        <f t="shared" ref="K584:K591" si="62">G584/E584</f>
        <v>517.38850336936389</v>
      </c>
    </row>
    <row r="585" spans="1:11" s="334" customFormat="1" ht="17.100000000000001" customHeight="1" x14ac:dyDescent="0.25">
      <c r="A585" s="143">
        <f>+A584+1</f>
        <v>2</v>
      </c>
      <c r="B585" s="276" t="s">
        <v>63</v>
      </c>
      <c r="C585" s="1009">
        <v>26</v>
      </c>
      <c r="D585" s="1010">
        <v>26</v>
      </c>
      <c r="E585" s="1030">
        <v>9783887</v>
      </c>
      <c r="F585" s="942">
        <v>2690568930</v>
      </c>
      <c r="G585" s="1030">
        <v>11774000</v>
      </c>
      <c r="H585" s="1030">
        <v>335</v>
      </c>
      <c r="I585" s="819">
        <f t="shared" si="56"/>
        <v>275.00000051104433</v>
      </c>
      <c r="J585" s="819">
        <v>239.99999999999997</v>
      </c>
      <c r="K585" s="819">
        <f t="shared" si="62"/>
        <v>1.2034071938892998</v>
      </c>
    </row>
    <row r="586" spans="1:11" s="334" customFormat="1" ht="17.100000000000001" customHeight="1" x14ac:dyDescent="0.25">
      <c r="A586" s="144">
        <v>3</v>
      </c>
      <c r="B586" s="276" t="s">
        <v>25</v>
      </c>
      <c r="C586" s="942">
        <v>0</v>
      </c>
      <c r="D586" s="942">
        <v>0</v>
      </c>
      <c r="E586" s="942">
        <v>0</v>
      </c>
      <c r="F586" s="942">
        <v>0</v>
      </c>
      <c r="G586" s="942">
        <v>0</v>
      </c>
      <c r="H586" s="942">
        <v>0</v>
      </c>
      <c r="I586" s="819" t="e">
        <f t="shared" si="56"/>
        <v>#DIV/0!</v>
      </c>
      <c r="J586" s="819" t="e">
        <v>#DIV/0!</v>
      </c>
      <c r="K586" s="819" t="e">
        <f t="shared" si="62"/>
        <v>#DIV/0!</v>
      </c>
    </row>
    <row r="587" spans="1:11" s="334" customFormat="1" ht="17.100000000000001" customHeight="1" x14ac:dyDescent="0.25">
      <c r="A587" s="143">
        <f t="shared" ref="A587" si="63">+A586+1</f>
        <v>4</v>
      </c>
      <c r="B587" s="330" t="s">
        <v>170</v>
      </c>
      <c r="C587" s="1009">
        <v>91</v>
      </c>
      <c r="D587" s="1010">
        <v>419.72</v>
      </c>
      <c r="E587" s="1011">
        <v>299152</v>
      </c>
      <c r="F587" s="995">
        <v>194449144</v>
      </c>
      <c r="G587" s="995">
        <v>8620000</v>
      </c>
      <c r="H587" s="995">
        <v>845</v>
      </c>
      <c r="I587" s="1049">
        <f t="shared" si="56"/>
        <v>650.00114991709904</v>
      </c>
      <c r="J587" s="1049">
        <v>2000</v>
      </c>
      <c r="K587" s="819">
        <f t="shared" si="62"/>
        <v>28.814783120286677</v>
      </c>
    </row>
    <row r="588" spans="1:11" s="334" customFormat="1" ht="17.100000000000001" customHeight="1" x14ac:dyDescent="0.25">
      <c r="A588" s="144">
        <v>5</v>
      </c>
      <c r="B588" s="276" t="s">
        <v>58</v>
      </c>
      <c r="C588" s="1009">
        <v>14</v>
      </c>
      <c r="D588" s="1010">
        <v>27.11</v>
      </c>
      <c r="E588" s="1011">
        <v>5188</v>
      </c>
      <c r="F588" s="995">
        <v>11154071</v>
      </c>
      <c r="G588" s="995">
        <v>2195000</v>
      </c>
      <c r="H588" s="995">
        <v>115</v>
      </c>
      <c r="I588" s="1049">
        <f t="shared" ref="I588:I645" si="64">F588/E588</f>
        <v>2149.975134926754</v>
      </c>
      <c r="J588" s="1049">
        <v>1700</v>
      </c>
      <c r="K588" s="819">
        <f t="shared" si="62"/>
        <v>423.0917501927525</v>
      </c>
    </row>
    <row r="589" spans="1:11" s="334" customFormat="1" ht="17.100000000000001" customHeight="1" x14ac:dyDescent="0.25">
      <c r="A589" s="143">
        <v>6</v>
      </c>
      <c r="B589" s="384" t="s">
        <v>615</v>
      </c>
      <c r="C589" s="942">
        <v>0</v>
      </c>
      <c r="D589" s="942">
        <v>0</v>
      </c>
      <c r="E589" s="942">
        <v>0</v>
      </c>
      <c r="F589" s="942">
        <v>0</v>
      </c>
      <c r="G589" s="942">
        <v>1757000</v>
      </c>
      <c r="H589" s="942">
        <v>0</v>
      </c>
      <c r="I589" s="819" t="e">
        <f t="shared" si="64"/>
        <v>#DIV/0!</v>
      </c>
      <c r="J589" s="819">
        <v>299.99997149710055</v>
      </c>
      <c r="K589" s="819" t="e">
        <f t="shared" si="62"/>
        <v>#DIV/0!</v>
      </c>
    </row>
    <row r="590" spans="1:11" s="334" customFormat="1" ht="17.100000000000001" customHeight="1" x14ac:dyDescent="0.25">
      <c r="A590" s="144">
        <v>7</v>
      </c>
      <c r="B590" s="627" t="s">
        <v>188</v>
      </c>
      <c r="C590" s="942">
        <v>0</v>
      </c>
      <c r="D590" s="942">
        <v>0</v>
      </c>
      <c r="E590" s="942">
        <v>0</v>
      </c>
      <c r="F590" s="942">
        <v>0</v>
      </c>
      <c r="G590" s="942">
        <v>0</v>
      </c>
      <c r="H590" s="942">
        <v>0</v>
      </c>
      <c r="I590" s="819" t="e">
        <f t="shared" si="64"/>
        <v>#DIV/0!</v>
      </c>
      <c r="J590" s="819" t="e">
        <v>#DIV/0!</v>
      </c>
      <c r="K590" s="819" t="e">
        <f t="shared" si="62"/>
        <v>#DIV/0!</v>
      </c>
    </row>
    <row r="591" spans="1:11" s="334" customFormat="1" ht="17.100000000000001" customHeight="1" x14ac:dyDescent="0.25">
      <c r="A591" s="744">
        <v>8</v>
      </c>
      <c r="B591" s="627" t="s">
        <v>627</v>
      </c>
      <c r="C591" s="942">
        <v>0</v>
      </c>
      <c r="D591" s="942">
        <v>0</v>
      </c>
      <c r="E591" s="942">
        <v>0</v>
      </c>
      <c r="F591" s="942">
        <v>0</v>
      </c>
      <c r="G591" s="942">
        <v>57000</v>
      </c>
      <c r="H591" s="942">
        <v>0</v>
      </c>
      <c r="I591" s="819" t="e">
        <f t="shared" si="64"/>
        <v>#DIV/0!</v>
      </c>
      <c r="J591" s="819">
        <v>30</v>
      </c>
      <c r="K591" s="819" t="e">
        <f t="shared" si="62"/>
        <v>#DIV/0!</v>
      </c>
    </row>
    <row r="592" spans="1:11" s="334" customFormat="1" ht="17.100000000000001" customHeight="1" x14ac:dyDescent="0.25">
      <c r="A592" s="744"/>
      <c r="B592" s="627" t="s">
        <v>75</v>
      </c>
      <c r="C592" s="942">
        <v>0</v>
      </c>
      <c r="D592" s="942">
        <v>0</v>
      </c>
      <c r="E592" s="942"/>
      <c r="F592" s="942"/>
      <c r="G592" s="942">
        <v>9674000</v>
      </c>
      <c r="H592" s="942"/>
      <c r="I592" s="819"/>
      <c r="J592" s="819"/>
      <c r="K592" s="819"/>
    </row>
    <row r="593" spans="1:11" s="334" customFormat="1" ht="17.100000000000001" customHeight="1" x14ac:dyDescent="0.25">
      <c r="A593" s="144"/>
      <c r="B593" s="306" t="s">
        <v>49</v>
      </c>
      <c r="C593" s="942">
        <v>0</v>
      </c>
      <c r="D593" s="942">
        <v>0</v>
      </c>
      <c r="E593" s="942"/>
      <c r="F593" s="942"/>
      <c r="G593" s="942">
        <v>7009000</v>
      </c>
      <c r="H593" s="942"/>
      <c r="I593" s="819"/>
      <c r="J593" s="819"/>
      <c r="K593" s="819"/>
    </row>
    <row r="594" spans="1:11" s="334" customFormat="1" ht="17.100000000000001" customHeight="1" x14ac:dyDescent="0.25">
      <c r="A594" s="1182" t="s">
        <v>50</v>
      </c>
      <c r="B594" s="1183"/>
      <c r="C594" s="348">
        <f>SUM(C584:C593)</f>
        <v>634</v>
      </c>
      <c r="D594" s="348">
        <f t="shared" ref="D594:H594" si="65">SUM(D584:D593)</f>
        <v>1199.6899999999998</v>
      </c>
      <c r="E594" s="348">
        <f t="shared" si="65"/>
        <v>11882631</v>
      </c>
      <c r="F594" s="348">
        <f t="shared" si="65"/>
        <v>6305539707</v>
      </c>
      <c r="G594" s="348">
        <f t="shared" si="65"/>
        <v>969490000</v>
      </c>
      <c r="H594" s="348">
        <f t="shared" si="65"/>
        <v>5930</v>
      </c>
      <c r="I594" s="819"/>
      <c r="J594" s="819"/>
      <c r="K594" s="819"/>
    </row>
    <row r="595" spans="1:11" s="334" customFormat="1" ht="17.100000000000001" customHeight="1" x14ac:dyDescent="0.25">
      <c r="A595" s="353"/>
      <c r="B595" s="354"/>
      <c r="C595" s="354"/>
      <c r="D595" s="355"/>
      <c r="E595" s="355"/>
      <c r="F595" s="356"/>
      <c r="G595" s="356"/>
      <c r="H595" s="357"/>
      <c r="I595" s="819"/>
      <c r="J595" s="819"/>
      <c r="K595" s="819"/>
    </row>
    <row r="596" spans="1:11" s="387" customFormat="1" ht="17.100000000000001" customHeight="1" x14ac:dyDescent="0.25">
      <c r="A596" s="1189" t="s">
        <v>90</v>
      </c>
      <c r="B596" s="1189"/>
      <c r="C596" s="1189"/>
      <c r="D596" s="1189"/>
      <c r="E596" s="1189"/>
      <c r="F596" s="1189"/>
      <c r="G596" s="1189"/>
      <c r="H596" s="1189"/>
      <c r="I596" s="828"/>
      <c r="J596" s="819"/>
      <c r="K596" s="828"/>
    </row>
    <row r="597" spans="1:11" s="334" customFormat="1" ht="17.100000000000001" customHeight="1" x14ac:dyDescent="0.25">
      <c r="A597" s="1184" t="s">
        <v>182</v>
      </c>
      <c r="B597" s="1184" t="s">
        <v>3</v>
      </c>
      <c r="C597" s="1184" t="s">
        <v>4</v>
      </c>
      <c r="D597" s="336" t="s">
        <v>5</v>
      </c>
      <c r="E597" s="337" t="s">
        <v>6</v>
      </c>
      <c r="F597" s="338" t="s">
        <v>7</v>
      </c>
      <c r="G597" s="338" t="s">
        <v>8</v>
      </c>
      <c r="H597" s="337" t="s">
        <v>9</v>
      </c>
      <c r="I597" s="819"/>
      <c r="J597" s="819"/>
      <c r="K597" s="819"/>
    </row>
    <row r="598" spans="1:11" s="334" customFormat="1" ht="17.100000000000001" customHeight="1" x14ac:dyDescent="0.25">
      <c r="A598" s="1185"/>
      <c r="B598" s="1185"/>
      <c r="C598" s="1185"/>
      <c r="D598" s="302" t="s">
        <v>380</v>
      </c>
      <c r="E598" s="339" t="s">
        <v>79</v>
      </c>
      <c r="F598" s="340" t="s">
        <v>632</v>
      </c>
      <c r="G598" s="340" t="s">
        <v>671</v>
      </c>
      <c r="H598" s="303" t="s">
        <v>13</v>
      </c>
      <c r="I598" s="819"/>
      <c r="J598" s="819"/>
      <c r="K598" s="819"/>
    </row>
    <row r="599" spans="1:11" s="334" customFormat="1" ht="17.100000000000001" customHeight="1" x14ac:dyDescent="0.25">
      <c r="A599" s="206">
        <v>1</v>
      </c>
      <c r="B599" s="63" t="s">
        <v>62</v>
      </c>
      <c r="C599" s="942">
        <v>270</v>
      </c>
      <c r="D599" s="943">
        <v>327.72</v>
      </c>
      <c r="E599" s="1030">
        <v>1884349</v>
      </c>
      <c r="F599" s="942">
        <f>E599*1850</f>
        <v>3486045650</v>
      </c>
      <c r="G599" s="1030">
        <v>267064000</v>
      </c>
      <c r="H599" s="1030">
        <v>1470</v>
      </c>
      <c r="I599" s="819">
        <f t="shared" si="64"/>
        <v>1850</v>
      </c>
      <c r="J599" s="819">
        <v>1850</v>
      </c>
      <c r="K599" s="819">
        <f t="shared" ref="K599:K660" si="66">G599/E599</f>
        <v>141.72746131422576</v>
      </c>
    </row>
    <row r="600" spans="1:11" s="334" customFormat="1" ht="17.100000000000001" customHeight="1" x14ac:dyDescent="0.25">
      <c r="A600" s="143">
        <v>2</v>
      </c>
      <c r="B600" s="63" t="s">
        <v>397</v>
      </c>
      <c r="C600" s="942">
        <v>31</v>
      </c>
      <c r="D600" s="943">
        <v>34.71</v>
      </c>
      <c r="E600" s="1030">
        <v>61074</v>
      </c>
      <c r="F600" s="1030">
        <f>E600*1050</f>
        <v>64127700</v>
      </c>
      <c r="G600" s="1030">
        <v>11407000</v>
      </c>
      <c r="H600" s="1030">
        <v>180</v>
      </c>
      <c r="I600" s="1049">
        <f t="shared" si="64"/>
        <v>1050</v>
      </c>
      <c r="J600" s="1049">
        <v>900</v>
      </c>
      <c r="K600" s="819">
        <f t="shared" si="66"/>
        <v>186.77342240560631</v>
      </c>
    </row>
    <row r="601" spans="1:11" s="334" customFormat="1" ht="17.100000000000001" customHeight="1" x14ac:dyDescent="0.25">
      <c r="A601" s="206">
        <v>3</v>
      </c>
      <c r="B601" s="63" t="s">
        <v>63</v>
      </c>
      <c r="C601" s="942">
        <v>58</v>
      </c>
      <c r="D601" s="943">
        <v>67.349999999999994</v>
      </c>
      <c r="E601" s="1030">
        <v>780248</v>
      </c>
      <c r="F601" s="942">
        <f>E601*200</f>
        <v>156049600</v>
      </c>
      <c r="G601" s="1030">
        <v>31532000</v>
      </c>
      <c r="H601" s="1030">
        <v>1005</v>
      </c>
      <c r="I601" s="819">
        <f t="shared" si="64"/>
        <v>200</v>
      </c>
      <c r="J601" s="819">
        <v>189.99999995162051</v>
      </c>
      <c r="K601" s="819">
        <f t="shared" si="66"/>
        <v>40.412791830289855</v>
      </c>
    </row>
    <row r="602" spans="1:11" s="334" customFormat="1" ht="17.100000000000001" customHeight="1" x14ac:dyDescent="0.25">
      <c r="A602" s="143">
        <v>4</v>
      </c>
      <c r="B602" s="63" t="s">
        <v>58</v>
      </c>
      <c r="C602" s="942">
        <v>45</v>
      </c>
      <c r="D602" s="943">
        <v>89.77</v>
      </c>
      <c r="E602" s="1030">
        <v>221914</v>
      </c>
      <c r="F602" s="942">
        <f>E602*2150</f>
        <v>477115100</v>
      </c>
      <c r="G602" s="942">
        <v>65399000</v>
      </c>
      <c r="H602" s="1030">
        <v>207</v>
      </c>
      <c r="I602" s="819">
        <v>2200</v>
      </c>
      <c r="J602" s="819">
        <v>2410.0000000000005</v>
      </c>
      <c r="K602" s="819">
        <f t="shared" si="66"/>
        <v>294.70425480140955</v>
      </c>
    </row>
    <row r="603" spans="1:11" s="334" customFormat="1" ht="17.100000000000001" customHeight="1" x14ac:dyDescent="0.25">
      <c r="A603" s="206">
        <v>5</v>
      </c>
      <c r="B603" s="63" t="s">
        <v>59</v>
      </c>
      <c r="C603" s="942">
        <v>2</v>
      </c>
      <c r="D603" s="943">
        <v>1262.68</v>
      </c>
      <c r="E603" s="1030">
        <v>0</v>
      </c>
      <c r="F603" s="942">
        <v>0</v>
      </c>
      <c r="G603" s="942">
        <v>0</v>
      </c>
      <c r="H603" s="1030">
        <v>0</v>
      </c>
      <c r="I603" s="819" t="e">
        <f t="shared" si="64"/>
        <v>#DIV/0!</v>
      </c>
      <c r="J603" s="819">
        <v>300</v>
      </c>
      <c r="K603" s="819" t="e">
        <f t="shared" si="66"/>
        <v>#DIV/0!</v>
      </c>
    </row>
    <row r="604" spans="1:11" s="334" customFormat="1" ht="17.100000000000001" customHeight="1" x14ac:dyDescent="0.25">
      <c r="A604" s="143">
        <v>6</v>
      </c>
      <c r="B604" s="274" t="s">
        <v>46</v>
      </c>
      <c r="C604" s="942">
        <v>0</v>
      </c>
      <c r="D604" s="943">
        <v>0</v>
      </c>
      <c r="E604" s="1030">
        <v>0</v>
      </c>
      <c r="F604" s="942">
        <v>0</v>
      </c>
      <c r="G604" s="1030">
        <v>0</v>
      </c>
      <c r="H604" s="1030">
        <v>0</v>
      </c>
      <c r="I604" s="819" t="e">
        <f t="shared" si="64"/>
        <v>#DIV/0!</v>
      </c>
      <c r="J604" s="819">
        <v>1799.9999999999998</v>
      </c>
      <c r="K604" s="819" t="e">
        <f t="shared" si="66"/>
        <v>#DIV/0!</v>
      </c>
    </row>
    <row r="605" spans="1:11" s="334" customFormat="1" ht="17.100000000000001" customHeight="1" x14ac:dyDescent="0.25">
      <c r="A605" s="206">
        <v>7</v>
      </c>
      <c r="B605" s="274" t="s">
        <v>27</v>
      </c>
      <c r="C605" s="942">
        <v>20</v>
      </c>
      <c r="D605" s="942">
        <v>833.34</v>
      </c>
      <c r="E605" s="942">
        <v>1712527</v>
      </c>
      <c r="F605" s="942">
        <f>E605*1550</f>
        <v>2654416850</v>
      </c>
      <c r="G605" s="942">
        <v>72507000</v>
      </c>
      <c r="H605" s="942">
        <v>390</v>
      </c>
      <c r="I605" s="819">
        <f t="shared" si="64"/>
        <v>1550</v>
      </c>
      <c r="J605" s="819" t="e">
        <v>#DIV/0!</v>
      </c>
      <c r="K605" s="819">
        <f t="shared" si="66"/>
        <v>42.339186477059926</v>
      </c>
    </row>
    <row r="606" spans="1:11" s="334" customFormat="1" ht="17.100000000000001" customHeight="1" x14ac:dyDescent="0.25">
      <c r="A606" s="206">
        <v>8</v>
      </c>
      <c r="B606" s="331" t="s">
        <v>24</v>
      </c>
      <c r="C606" s="942">
        <v>0</v>
      </c>
      <c r="D606" s="942">
        <v>0</v>
      </c>
      <c r="E606" s="942"/>
      <c r="F606" s="942"/>
      <c r="G606" s="942"/>
      <c r="H606" s="942"/>
      <c r="I606" s="819" t="e">
        <f t="shared" si="64"/>
        <v>#DIV/0!</v>
      </c>
      <c r="J606" s="819" t="e">
        <v>#DIV/0!</v>
      </c>
      <c r="K606" s="819" t="e">
        <f t="shared" si="66"/>
        <v>#DIV/0!</v>
      </c>
    </row>
    <row r="607" spans="1:11" s="334" customFormat="1" ht="17.100000000000001" customHeight="1" x14ac:dyDescent="0.25">
      <c r="A607" s="143">
        <v>9</v>
      </c>
      <c r="B607" s="961" t="s">
        <v>630</v>
      </c>
      <c r="C607" s="942">
        <v>194</v>
      </c>
      <c r="D607" s="943">
        <v>843.34</v>
      </c>
      <c r="E607" s="942">
        <v>1712527</v>
      </c>
      <c r="F607" s="970">
        <f>E607*450</f>
        <v>770637150</v>
      </c>
      <c r="G607" s="942">
        <v>101748000</v>
      </c>
      <c r="H607" s="987">
        <v>11494</v>
      </c>
      <c r="I607" s="1049">
        <f t="shared" si="64"/>
        <v>450</v>
      </c>
      <c r="J607" s="1049">
        <v>1999.9999999999998</v>
      </c>
      <c r="K607" s="819">
        <f t="shared" si="66"/>
        <v>59.413953765400485</v>
      </c>
    </row>
    <row r="608" spans="1:11" s="334" customFormat="1" ht="17.100000000000001" customHeight="1" x14ac:dyDescent="0.25">
      <c r="A608" s="206">
        <v>10</v>
      </c>
      <c r="B608" s="274" t="s">
        <v>44</v>
      </c>
      <c r="C608" s="942">
        <v>1</v>
      </c>
      <c r="D608" s="943">
        <v>4.2</v>
      </c>
      <c r="E608" s="1030">
        <f>G608/88</f>
        <v>484340.90909090912</v>
      </c>
      <c r="F608" s="942">
        <f>E608*520</f>
        <v>251857272.72727275</v>
      </c>
      <c r="G608" s="1030">
        <v>42622000</v>
      </c>
      <c r="H608" s="1030">
        <v>109</v>
      </c>
      <c r="I608" s="819">
        <f t="shared" si="64"/>
        <v>520</v>
      </c>
      <c r="J608" s="819">
        <v>549.99999973437502</v>
      </c>
      <c r="K608" s="819">
        <f t="shared" si="66"/>
        <v>88</v>
      </c>
    </row>
    <row r="609" spans="1:11" s="334" customFormat="1" ht="17.100000000000001" customHeight="1" x14ac:dyDescent="0.25">
      <c r="A609" s="361">
        <v>11</v>
      </c>
      <c r="B609" s="274" t="s">
        <v>39</v>
      </c>
      <c r="C609" s="942">
        <v>1</v>
      </c>
      <c r="D609" s="943">
        <v>4</v>
      </c>
      <c r="E609" s="1030"/>
      <c r="F609" s="942"/>
      <c r="G609" s="1030"/>
      <c r="H609" s="1030"/>
      <c r="I609" s="819"/>
      <c r="J609" s="819"/>
      <c r="K609" s="819"/>
    </row>
    <row r="610" spans="1:11" s="334" customFormat="1" ht="17.100000000000001" customHeight="1" x14ac:dyDescent="0.25">
      <c r="A610" s="144"/>
      <c r="B610" s="63" t="s">
        <v>75</v>
      </c>
      <c r="C610" s="942">
        <v>0</v>
      </c>
      <c r="D610" s="942">
        <v>0</v>
      </c>
      <c r="E610" s="942"/>
      <c r="F610" s="942"/>
      <c r="G610" s="942">
        <v>30782000</v>
      </c>
      <c r="H610" s="942"/>
      <c r="I610" s="819"/>
      <c r="J610" s="819"/>
      <c r="K610" s="819"/>
    </row>
    <row r="611" spans="1:11" s="334" customFormat="1" ht="17.100000000000001" customHeight="1" x14ac:dyDescent="0.25">
      <c r="A611" s="144"/>
      <c r="B611" s="63" t="s">
        <v>49</v>
      </c>
      <c r="C611" s="942">
        <v>0</v>
      </c>
      <c r="D611" s="942">
        <v>0</v>
      </c>
      <c r="E611" s="942"/>
      <c r="F611" s="942"/>
      <c r="G611" s="942">
        <v>51002000</v>
      </c>
      <c r="H611" s="942"/>
      <c r="I611" s="819"/>
      <c r="J611" s="819"/>
      <c r="K611" s="819"/>
    </row>
    <row r="612" spans="1:11" s="334" customFormat="1" ht="17.100000000000001" customHeight="1" x14ac:dyDescent="0.25">
      <c r="A612" s="1182" t="s">
        <v>50</v>
      </c>
      <c r="B612" s="1183"/>
      <c r="C612" s="335">
        <f>SUM(C599:C611)</f>
        <v>622</v>
      </c>
      <c r="D612" s="335">
        <f t="shared" ref="D612:H612" si="67">SUM(D599:D611)</f>
        <v>3467.11</v>
      </c>
      <c r="E612" s="371">
        <f>SUM(E599:E611)</f>
        <v>6856979.9090909092</v>
      </c>
      <c r="F612" s="335">
        <f>SUM(F599:F611)</f>
        <v>7860249322.727273</v>
      </c>
      <c r="G612" s="371">
        <f>SUM(G599:G611)</f>
        <v>674063000</v>
      </c>
      <c r="H612" s="335">
        <f t="shared" si="67"/>
        <v>14855</v>
      </c>
      <c r="I612" s="819"/>
      <c r="J612" s="819"/>
      <c r="K612" s="819"/>
    </row>
    <row r="613" spans="1:11" s="334" customFormat="1" ht="17.100000000000001" customHeight="1" x14ac:dyDescent="0.25">
      <c r="A613" s="353"/>
      <c r="B613" s="354"/>
      <c r="C613" s="354"/>
      <c r="D613" s="355"/>
      <c r="E613" s="355"/>
      <c r="F613" s="356"/>
      <c r="G613" s="351"/>
      <c r="H613" s="357"/>
      <c r="I613" s="819"/>
      <c r="J613" s="819"/>
      <c r="K613" s="819"/>
    </row>
    <row r="614" spans="1:11" s="334" customFormat="1" ht="17.100000000000001" customHeight="1" x14ac:dyDescent="0.25">
      <c r="A614" s="1188" t="s">
        <v>120</v>
      </c>
      <c r="B614" s="1188"/>
      <c r="C614" s="1188"/>
      <c r="D614" s="1188"/>
      <c r="E614" s="1188"/>
      <c r="F614" s="1188"/>
      <c r="G614" s="1188"/>
      <c r="H614" s="1188"/>
      <c r="I614" s="819"/>
      <c r="J614" s="819"/>
      <c r="K614" s="819"/>
    </row>
    <row r="615" spans="1:11" s="334" customFormat="1" ht="17.100000000000001" customHeight="1" x14ac:dyDescent="0.25">
      <c r="A615" s="1184" t="s">
        <v>182</v>
      </c>
      <c r="B615" s="1184" t="s">
        <v>3</v>
      </c>
      <c r="C615" s="1184" t="s">
        <v>4</v>
      </c>
      <c r="D615" s="336" t="s">
        <v>5</v>
      </c>
      <c r="E615" s="337" t="s">
        <v>6</v>
      </c>
      <c r="F615" s="338" t="s">
        <v>7</v>
      </c>
      <c r="G615" s="338" t="s">
        <v>8</v>
      </c>
      <c r="H615" s="337" t="s">
        <v>9</v>
      </c>
      <c r="I615" s="819"/>
      <c r="J615" s="819"/>
      <c r="K615" s="819"/>
    </row>
    <row r="616" spans="1:11" s="334" customFormat="1" ht="17.100000000000001" customHeight="1" x14ac:dyDescent="0.25">
      <c r="A616" s="1185"/>
      <c r="B616" s="1185"/>
      <c r="C616" s="1185"/>
      <c r="D616" s="302" t="s">
        <v>380</v>
      </c>
      <c r="E616" s="339" t="s">
        <v>79</v>
      </c>
      <c r="F616" s="340" t="s">
        <v>632</v>
      </c>
      <c r="G616" s="340" t="s">
        <v>671</v>
      </c>
      <c r="H616" s="303" t="s">
        <v>13</v>
      </c>
      <c r="I616" s="819"/>
      <c r="J616" s="819"/>
      <c r="K616" s="819"/>
    </row>
    <row r="617" spans="1:11" s="334" customFormat="1" ht="17.100000000000001" customHeight="1" x14ac:dyDescent="0.25">
      <c r="A617" s="144">
        <v>1</v>
      </c>
      <c r="B617" s="203" t="s">
        <v>144</v>
      </c>
      <c r="C617" s="974">
        <v>15</v>
      </c>
      <c r="D617" s="974">
        <v>48.58</v>
      </c>
      <c r="E617" s="974">
        <v>50480</v>
      </c>
      <c r="F617" s="974">
        <v>58052920</v>
      </c>
      <c r="G617" s="974">
        <v>365706975</v>
      </c>
      <c r="H617" s="974">
        <v>100</v>
      </c>
      <c r="I617" s="819">
        <v>1200</v>
      </c>
      <c r="J617" s="819">
        <v>1175</v>
      </c>
      <c r="K617" s="819">
        <f t="shared" si="66"/>
        <v>7244.5914223454838</v>
      </c>
    </row>
    <row r="618" spans="1:11" s="334" customFormat="1" ht="17.100000000000001" customHeight="1" x14ac:dyDescent="0.25">
      <c r="A618" s="137">
        <v>2</v>
      </c>
      <c r="B618" s="166" t="s">
        <v>71</v>
      </c>
      <c r="C618" s="974">
        <v>1</v>
      </c>
      <c r="D618" s="974">
        <v>0.72</v>
      </c>
      <c r="E618" s="1030">
        <v>0</v>
      </c>
      <c r="F618" s="942">
        <v>0</v>
      </c>
      <c r="G618" s="1031">
        <v>0</v>
      </c>
      <c r="H618" s="974">
        <v>0</v>
      </c>
      <c r="I618" s="819" t="e">
        <f t="shared" si="64"/>
        <v>#DIV/0!</v>
      </c>
      <c r="J618" s="819" t="e">
        <v>#DIV/0!</v>
      </c>
      <c r="K618" s="819" t="e">
        <f t="shared" si="66"/>
        <v>#DIV/0!</v>
      </c>
    </row>
    <row r="619" spans="1:11" s="334" customFormat="1" ht="17.100000000000001" customHeight="1" x14ac:dyDescent="0.25">
      <c r="A619" s="137">
        <v>3</v>
      </c>
      <c r="B619" s="166" t="s">
        <v>63</v>
      </c>
      <c r="C619" s="974">
        <v>13</v>
      </c>
      <c r="D619" s="974">
        <v>14.37</v>
      </c>
      <c r="E619" s="1030">
        <v>361758</v>
      </c>
      <c r="F619" s="942">
        <v>75969323</v>
      </c>
      <c r="G619" s="1031">
        <v>623218</v>
      </c>
      <c r="H619" s="974">
        <v>50</v>
      </c>
      <c r="I619" s="819">
        <f t="shared" si="64"/>
        <v>210.00039529188021</v>
      </c>
      <c r="J619" s="819">
        <v>185</v>
      </c>
      <c r="K619" s="819">
        <f t="shared" si="66"/>
        <v>1.7227483566362043</v>
      </c>
    </row>
    <row r="620" spans="1:11" s="334" customFormat="1" ht="17.100000000000001" customHeight="1" x14ac:dyDescent="0.25">
      <c r="A620" s="137">
        <v>4</v>
      </c>
      <c r="B620" s="166" t="s">
        <v>59</v>
      </c>
      <c r="C620" s="974">
        <v>1</v>
      </c>
      <c r="D620" s="974">
        <v>200</v>
      </c>
      <c r="E620" s="1030">
        <v>0</v>
      </c>
      <c r="F620" s="942">
        <v>0</v>
      </c>
      <c r="G620" s="1031">
        <v>0</v>
      </c>
      <c r="H620" s="974">
        <v>0</v>
      </c>
      <c r="I620" s="819" t="e">
        <f t="shared" si="64"/>
        <v>#DIV/0!</v>
      </c>
      <c r="J620" s="819" t="e">
        <v>#DIV/0!</v>
      </c>
      <c r="K620" s="819" t="e">
        <f t="shared" si="66"/>
        <v>#DIV/0!</v>
      </c>
    </row>
    <row r="621" spans="1:11" s="334" customFormat="1" ht="17.100000000000001" customHeight="1" x14ac:dyDescent="0.25">
      <c r="A621" s="137">
        <v>5</v>
      </c>
      <c r="B621" s="166" t="s">
        <v>65</v>
      </c>
      <c r="C621" s="942">
        <v>0</v>
      </c>
      <c r="D621" s="942">
        <v>0</v>
      </c>
      <c r="E621" s="942">
        <v>419336</v>
      </c>
      <c r="F621" s="942">
        <v>10483400</v>
      </c>
      <c r="G621" s="942">
        <v>2516016</v>
      </c>
      <c r="H621" s="942">
        <v>25</v>
      </c>
      <c r="I621" s="819">
        <f t="shared" si="64"/>
        <v>25</v>
      </c>
      <c r="J621" s="819">
        <v>25.000010519769432</v>
      </c>
      <c r="K621" s="819">
        <f t="shared" si="66"/>
        <v>6</v>
      </c>
    </row>
    <row r="622" spans="1:11" s="334" customFormat="1" ht="17.100000000000001" customHeight="1" x14ac:dyDescent="0.25">
      <c r="A622" s="137">
        <v>6</v>
      </c>
      <c r="B622" s="203" t="s">
        <v>60</v>
      </c>
      <c r="C622" s="942">
        <v>34</v>
      </c>
      <c r="D622" s="942">
        <v>1265.1300000000001</v>
      </c>
      <c r="E622" s="942">
        <v>2526730</v>
      </c>
      <c r="F622" s="942">
        <v>909622792</v>
      </c>
      <c r="G622" s="942">
        <v>111760719</v>
      </c>
      <c r="H622" s="942">
        <v>100</v>
      </c>
      <c r="I622" s="819">
        <f t="shared" si="64"/>
        <v>359.99999683385244</v>
      </c>
      <c r="J622" s="819"/>
      <c r="K622" s="819">
        <f t="shared" si="66"/>
        <v>44.231365836476392</v>
      </c>
    </row>
    <row r="623" spans="1:11" s="334" customFormat="1" ht="17.100000000000001" customHeight="1" x14ac:dyDescent="0.25">
      <c r="A623" s="137"/>
      <c r="B623" s="166" t="s">
        <v>75</v>
      </c>
      <c r="C623" s="942">
        <v>0</v>
      </c>
      <c r="D623" s="942">
        <v>0</v>
      </c>
      <c r="E623" s="942"/>
      <c r="F623" s="942"/>
      <c r="G623" s="942">
        <v>103967</v>
      </c>
      <c r="H623" s="942"/>
      <c r="I623" s="819"/>
      <c r="J623" s="819"/>
      <c r="K623" s="819"/>
    </row>
    <row r="624" spans="1:11" s="334" customFormat="1" ht="17.100000000000001" customHeight="1" x14ac:dyDescent="0.25">
      <c r="A624" s="166"/>
      <c r="B624" s="166" t="s">
        <v>49</v>
      </c>
      <c r="C624" s="942">
        <v>0</v>
      </c>
      <c r="D624" s="942">
        <v>0</v>
      </c>
      <c r="E624" s="942"/>
      <c r="F624" s="942"/>
      <c r="G624" s="942">
        <v>296833968</v>
      </c>
      <c r="H624" s="942"/>
      <c r="I624" s="819"/>
      <c r="J624" s="819"/>
      <c r="K624" s="819"/>
    </row>
    <row r="625" spans="1:13" s="334" customFormat="1" ht="17.100000000000001" customHeight="1" x14ac:dyDescent="0.25">
      <c r="A625" s="1213" t="s">
        <v>50</v>
      </c>
      <c r="B625" s="1214"/>
      <c r="C625" s="335">
        <f>SUM(C617:C624)</f>
        <v>64</v>
      </c>
      <c r="D625" s="335">
        <f t="shared" ref="D625:H625" si="68">SUM(D617:D624)</f>
        <v>1528.8000000000002</v>
      </c>
      <c r="E625" s="335">
        <f t="shared" si="68"/>
        <v>3358304</v>
      </c>
      <c r="F625" s="335">
        <f t="shared" si="68"/>
        <v>1054128435</v>
      </c>
      <c r="G625" s="371">
        <f>SUM(G617:G624)</f>
        <v>777544863</v>
      </c>
      <c r="H625" s="335">
        <f t="shared" si="68"/>
        <v>275</v>
      </c>
      <c r="I625" s="819"/>
      <c r="J625" s="819"/>
      <c r="K625" s="819"/>
    </row>
    <row r="626" spans="1:13" s="334" customFormat="1" ht="17.100000000000001" customHeight="1" x14ac:dyDescent="0.25">
      <c r="A626" s="353"/>
      <c r="B626" s="354"/>
      <c r="C626" s="354"/>
      <c r="D626" s="355"/>
      <c r="E626" s="355"/>
      <c r="F626" s="356"/>
      <c r="G626" s="356"/>
      <c r="H626" s="357"/>
      <c r="I626" s="819"/>
      <c r="J626" s="819"/>
      <c r="K626" s="819"/>
    </row>
    <row r="627" spans="1:13" s="334" customFormat="1" ht="17.100000000000001" customHeight="1" x14ac:dyDescent="0.25">
      <c r="A627" s="1188" t="s">
        <v>127</v>
      </c>
      <c r="B627" s="1188"/>
      <c r="C627" s="1188"/>
      <c r="D627" s="1188"/>
      <c r="E627" s="1188"/>
      <c r="F627" s="1188"/>
      <c r="G627" s="1188"/>
      <c r="H627" s="1188"/>
      <c r="I627" s="819"/>
      <c r="J627" s="819"/>
      <c r="K627" s="819"/>
    </row>
    <row r="628" spans="1:13" s="334" customFormat="1" ht="17.100000000000001" customHeight="1" x14ac:dyDescent="0.25">
      <c r="A628" s="1184" t="s">
        <v>182</v>
      </c>
      <c r="B628" s="1184" t="s">
        <v>3</v>
      </c>
      <c r="C628" s="1184" t="s">
        <v>4</v>
      </c>
      <c r="D628" s="336" t="s">
        <v>5</v>
      </c>
      <c r="E628" s="337" t="s">
        <v>6</v>
      </c>
      <c r="F628" s="338" t="s">
        <v>7</v>
      </c>
      <c r="G628" s="338" t="s">
        <v>8</v>
      </c>
      <c r="H628" s="337" t="s">
        <v>9</v>
      </c>
      <c r="I628" s="819"/>
      <c r="J628" s="819"/>
      <c r="K628" s="819"/>
    </row>
    <row r="629" spans="1:13" s="334" customFormat="1" ht="17.100000000000001" customHeight="1" x14ac:dyDescent="0.25">
      <c r="A629" s="1185"/>
      <c r="B629" s="1185"/>
      <c r="C629" s="1185"/>
      <c r="D629" s="302" t="s">
        <v>380</v>
      </c>
      <c r="E629" s="339" t="s">
        <v>79</v>
      </c>
      <c r="F629" s="340" t="s">
        <v>632</v>
      </c>
      <c r="G629" s="340" t="s">
        <v>671</v>
      </c>
      <c r="H629" s="303" t="s">
        <v>13</v>
      </c>
      <c r="I629" s="819"/>
      <c r="J629" s="819"/>
      <c r="K629" s="819"/>
    </row>
    <row r="630" spans="1:13" s="334" customFormat="1" ht="17.100000000000001" customHeight="1" x14ac:dyDescent="0.25">
      <c r="A630" s="206">
        <v>1</v>
      </c>
      <c r="B630" s="63" t="s">
        <v>72</v>
      </c>
      <c r="C630" s="942">
        <v>118</v>
      </c>
      <c r="D630" s="942">
        <v>134.83000000000001</v>
      </c>
      <c r="E630" s="1030">
        <v>329437</v>
      </c>
      <c r="F630" s="942">
        <f>E630*1450</f>
        <v>477683650</v>
      </c>
      <c r="G630" s="1030">
        <v>105419939</v>
      </c>
      <c r="H630" s="1030">
        <v>1800</v>
      </c>
      <c r="I630" s="819">
        <f t="shared" si="64"/>
        <v>1450</v>
      </c>
      <c r="J630" s="819">
        <v>1660.0465645894681</v>
      </c>
      <c r="K630" s="819">
        <f t="shared" si="66"/>
        <v>320.00030051269289</v>
      </c>
      <c r="L630" s="1075" t="s">
        <v>661</v>
      </c>
      <c r="M630">
        <v>157612.57</v>
      </c>
    </row>
    <row r="631" spans="1:13" s="334" customFormat="1" ht="17.100000000000001" customHeight="1" x14ac:dyDescent="0.25">
      <c r="A631" s="206">
        <v>2</v>
      </c>
      <c r="B631" s="63" t="s">
        <v>63</v>
      </c>
      <c r="C631" s="942">
        <v>11</v>
      </c>
      <c r="D631" s="942">
        <v>11</v>
      </c>
      <c r="E631" s="1030">
        <v>157612</v>
      </c>
      <c r="F631" s="1035">
        <f>E631*200</f>
        <v>31522400</v>
      </c>
      <c r="G631" s="1030">
        <v>5516439</v>
      </c>
      <c r="H631" s="1030">
        <v>90</v>
      </c>
      <c r="I631" s="819">
        <f t="shared" si="64"/>
        <v>200</v>
      </c>
      <c r="J631" s="819">
        <v>185</v>
      </c>
      <c r="K631" s="819">
        <f t="shared" si="66"/>
        <v>35.000120549196758</v>
      </c>
      <c r="L631" s="1075" t="s">
        <v>665</v>
      </c>
      <c r="M631">
        <v>329437.30999999994</v>
      </c>
    </row>
    <row r="632" spans="1:13" s="334" customFormat="1" ht="17.100000000000001" customHeight="1" x14ac:dyDescent="0.25">
      <c r="A632" s="206">
        <v>3</v>
      </c>
      <c r="B632" s="63" t="s">
        <v>147</v>
      </c>
      <c r="C632" s="942">
        <v>0</v>
      </c>
      <c r="D632" s="942">
        <v>0</v>
      </c>
      <c r="E632" s="942">
        <v>0</v>
      </c>
      <c r="F632" s="994">
        <v>0</v>
      </c>
      <c r="G632" s="942">
        <v>0</v>
      </c>
      <c r="H632" s="1030">
        <v>0</v>
      </c>
      <c r="I632" s="819" t="e">
        <f t="shared" si="64"/>
        <v>#DIV/0!</v>
      </c>
      <c r="J632" s="819" t="e">
        <v>#DIV/0!</v>
      </c>
      <c r="K632" s="819" t="e">
        <f t="shared" si="66"/>
        <v>#DIV/0!</v>
      </c>
      <c r="L632" s="1075" t="s">
        <v>46</v>
      </c>
      <c r="M632">
        <v>337416.84999999992</v>
      </c>
    </row>
    <row r="633" spans="1:13" s="334" customFormat="1" ht="17.100000000000001" customHeight="1" x14ac:dyDescent="0.25">
      <c r="A633" s="206">
        <v>4</v>
      </c>
      <c r="B633" s="274" t="s">
        <v>46</v>
      </c>
      <c r="C633" s="942">
        <v>34</v>
      </c>
      <c r="D633" s="942">
        <v>474.53</v>
      </c>
      <c r="E633" s="942">
        <v>337417</v>
      </c>
      <c r="F633" s="1036">
        <f>E633*1350</f>
        <v>455512950</v>
      </c>
      <c r="G633" s="942">
        <v>37589601</v>
      </c>
      <c r="H633" s="1030">
        <v>450</v>
      </c>
      <c r="I633" s="819">
        <f t="shared" si="64"/>
        <v>1350</v>
      </c>
      <c r="J633" s="819">
        <v>1350</v>
      </c>
      <c r="K633" s="819">
        <f t="shared" si="66"/>
        <v>111.40399268560861</v>
      </c>
    </row>
    <row r="634" spans="1:13" s="334" customFormat="1" ht="17.100000000000001" customHeight="1" x14ac:dyDescent="0.25">
      <c r="A634" s="143"/>
      <c r="B634" s="166" t="s">
        <v>75</v>
      </c>
      <c r="C634" s="942">
        <v>0</v>
      </c>
      <c r="D634" s="942">
        <v>0</v>
      </c>
      <c r="E634" s="942"/>
      <c r="F634" s="942"/>
      <c r="G634" s="942">
        <v>1517863</v>
      </c>
      <c r="H634" s="942"/>
      <c r="I634" s="819"/>
      <c r="J634" s="819"/>
      <c r="K634" s="819"/>
    </row>
    <row r="635" spans="1:13" s="334" customFormat="1" ht="17.100000000000001" customHeight="1" x14ac:dyDescent="0.25">
      <c r="A635" s="143"/>
      <c r="B635" s="166" t="s">
        <v>49</v>
      </c>
      <c r="C635" s="942">
        <v>0</v>
      </c>
      <c r="D635" s="942">
        <v>0</v>
      </c>
      <c r="E635" s="942"/>
      <c r="F635" s="942"/>
      <c r="G635" s="942">
        <v>17477939</v>
      </c>
      <c r="H635" s="942"/>
      <c r="I635" s="819"/>
      <c r="J635" s="819"/>
      <c r="K635" s="819"/>
    </row>
    <row r="636" spans="1:13" s="334" customFormat="1" ht="17.100000000000001" customHeight="1" x14ac:dyDescent="0.25">
      <c r="A636" s="1212" t="s">
        <v>50</v>
      </c>
      <c r="B636" s="1198"/>
      <c r="C636" s="335">
        <f>SUM(C630:C635)</f>
        <v>163</v>
      </c>
      <c r="D636" s="335">
        <f t="shared" ref="D636:H636" si="69">SUM(D630:D635)</f>
        <v>620.36</v>
      </c>
      <c r="E636" s="335">
        <f t="shared" si="69"/>
        <v>824466</v>
      </c>
      <c r="F636" s="335">
        <f t="shared" si="69"/>
        <v>964719000</v>
      </c>
      <c r="G636" s="335">
        <f t="shared" si="69"/>
        <v>167521781</v>
      </c>
      <c r="H636" s="745">
        <f t="shared" si="69"/>
        <v>2340</v>
      </c>
      <c r="I636" s="819"/>
      <c r="J636" s="819"/>
      <c r="K636" s="819"/>
    </row>
    <row r="637" spans="1:13" s="334" customFormat="1" ht="17.100000000000001" customHeight="1" x14ac:dyDescent="0.25">
      <c r="A637" s="343"/>
      <c r="B637" s="349"/>
      <c r="C637" s="349"/>
      <c r="D637" s="350"/>
      <c r="E637" s="350"/>
      <c r="F637" s="351"/>
      <c r="G637" s="351"/>
      <c r="H637" s="347"/>
      <c r="I637" s="819"/>
      <c r="J637" s="819"/>
      <c r="K637" s="819"/>
    </row>
    <row r="638" spans="1:13" s="334" customFormat="1" ht="17.100000000000001" customHeight="1" x14ac:dyDescent="0.25">
      <c r="A638" s="1188" t="s">
        <v>459</v>
      </c>
      <c r="B638" s="1188"/>
      <c r="C638" s="1188"/>
      <c r="D638" s="1188"/>
      <c r="E638" s="1188"/>
      <c r="F638" s="1188"/>
      <c r="G638" s="1188"/>
      <c r="H638" s="1188"/>
      <c r="I638" s="819"/>
      <c r="J638" s="819"/>
      <c r="K638" s="819"/>
    </row>
    <row r="639" spans="1:13" s="334" customFormat="1" ht="17.100000000000001" customHeight="1" x14ac:dyDescent="0.25">
      <c r="A639" s="1184" t="s">
        <v>182</v>
      </c>
      <c r="B639" s="1184" t="s">
        <v>3</v>
      </c>
      <c r="C639" s="1184" t="s">
        <v>4</v>
      </c>
      <c r="D639" s="336" t="s">
        <v>5</v>
      </c>
      <c r="E639" s="337" t="s">
        <v>6</v>
      </c>
      <c r="F639" s="338" t="s">
        <v>7</v>
      </c>
      <c r="G639" s="338" t="s">
        <v>8</v>
      </c>
      <c r="H639" s="337" t="s">
        <v>9</v>
      </c>
      <c r="I639" s="819"/>
      <c r="J639" s="819"/>
      <c r="K639" s="819"/>
    </row>
    <row r="640" spans="1:13" s="334" customFormat="1" ht="17.100000000000001" customHeight="1" x14ac:dyDescent="0.25">
      <c r="A640" s="1185"/>
      <c r="B640" s="1185"/>
      <c r="C640" s="1185"/>
      <c r="D640" s="302" t="s">
        <v>380</v>
      </c>
      <c r="E640" s="339" t="s">
        <v>79</v>
      </c>
      <c r="F640" s="1039" t="s">
        <v>632</v>
      </c>
      <c r="G640" s="1039" t="s">
        <v>671</v>
      </c>
      <c r="H640" s="303" t="s">
        <v>13</v>
      </c>
      <c r="I640" s="819"/>
      <c r="J640" s="819"/>
      <c r="K640" s="819"/>
    </row>
    <row r="641" spans="1:14" s="334" customFormat="1" ht="17.100000000000001" customHeight="1" x14ac:dyDescent="0.25">
      <c r="A641" s="206">
        <v>1</v>
      </c>
      <c r="B641" s="63" t="s">
        <v>63</v>
      </c>
      <c r="C641" s="1027">
        <v>168</v>
      </c>
      <c r="D641" s="1027">
        <v>172.93</v>
      </c>
      <c r="E641" s="1027">
        <v>6150185</v>
      </c>
      <c r="F641" s="944">
        <f>E641*210</f>
        <v>1291538850</v>
      </c>
      <c r="G641" s="1028">
        <f>E641*35</f>
        <v>215256475</v>
      </c>
      <c r="H641" s="1028">
        <v>800</v>
      </c>
      <c r="I641" s="819">
        <f t="shared" si="64"/>
        <v>210</v>
      </c>
      <c r="J641" s="819">
        <v>180</v>
      </c>
      <c r="K641" s="819">
        <f t="shared" si="66"/>
        <v>35</v>
      </c>
      <c r="L641" s="1075" t="s">
        <v>55</v>
      </c>
      <c r="M641">
        <v>196.06</v>
      </c>
      <c r="N641">
        <v>21566.6</v>
      </c>
    </row>
    <row r="642" spans="1:14" s="334" customFormat="1" ht="17.100000000000001" customHeight="1" x14ac:dyDescent="0.25">
      <c r="A642" s="361">
        <v>2</v>
      </c>
      <c r="B642" s="385" t="s">
        <v>71</v>
      </c>
      <c r="C642" s="944">
        <v>74</v>
      </c>
      <c r="D642" s="944">
        <v>550.87</v>
      </c>
      <c r="E642" s="944">
        <f>13963+321918</f>
        <v>335881</v>
      </c>
      <c r="F642" s="944">
        <f>E642*750</f>
        <v>251910750</v>
      </c>
      <c r="G642" s="1028">
        <f>E642*80</f>
        <v>26870480</v>
      </c>
      <c r="H642" s="1028">
        <v>350</v>
      </c>
      <c r="I642" s="819">
        <f t="shared" si="64"/>
        <v>750</v>
      </c>
      <c r="J642" s="819">
        <v>750</v>
      </c>
      <c r="K642" s="819">
        <f t="shared" si="66"/>
        <v>80</v>
      </c>
      <c r="L642" s="1075" t="s">
        <v>661</v>
      </c>
      <c r="M642">
        <v>6150184.8700000001</v>
      </c>
      <c r="N642">
        <v>5397795.9199999999</v>
      </c>
    </row>
    <row r="643" spans="1:14" s="334" customFormat="1" ht="17.100000000000001" customHeight="1" x14ac:dyDescent="0.25">
      <c r="A643" s="137">
        <v>3</v>
      </c>
      <c r="B643" s="166" t="s">
        <v>55</v>
      </c>
      <c r="C643" s="944">
        <v>1</v>
      </c>
      <c r="D643" s="944">
        <v>0.71</v>
      </c>
      <c r="E643" s="944">
        <v>196</v>
      </c>
      <c r="F643" s="944">
        <v>24154</v>
      </c>
      <c r="G643" s="1028">
        <v>21566</v>
      </c>
      <c r="H643" s="1028">
        <v>5</v>
      </c>
      <c r="I643" s="819">
        <f t="shared" si="64"/>
        <v>123.23469387755102</v>
      </c>
      <c r="J643" s="819" t="e">
        <v>#DIV/0!</v>
      </c>
      <c r="K643" s="819">
        <f t="shared" si="66"/>
        <v>110.03061224489795</v>
      </c>
      <c r="L643" s="1075" t="s">
        <v>668</v>
      </c>
      <c r="M643">
        <v>13963.67</v>
      </c>
      <c r="N643">
        <v>92251.8</v>
      </c>
    </row>
    <row r="644" spans="1:14" s="334" customFormat="1" ht="17.100000000000001" customHeight="1" x14ac:dyDescent="0.25">
      <c r="A644" s="137">
        <v>4</v>
      </c>
      <c r="B644" s="166" t="s">
        <v>64</v>
      </c>
      <c r="C644" s="944">
        <v>2</v>
      </c>
      <c r="D644" s="944">
        <v>965.94</v>
      </c>
      <c r="E644" s="944"/>
      <c r="F644" s="1025">
        <v>0</v>
      </c>
      <c r="G644" s="1025">
        <v>0</v>
      </c>
      <c r="H644" s="1027"/>
      <c r="I644" s="819" t="e">
        <f t="shared" si="64"/>
        <v>#DIV/0!</v>
      </c>
      <c r="J644" s="828" t="e">
        <v>#DIV/0!</v>
      </c>
      <c r="K644" s="819" t="e">
        <f t="shared" si="66"/>
        <v>#DIV/0!</v>
      </c>
      <c r="L644" s="1075" t="s">
        <v>667</v>
      </c>
      <c r="M644">
        <v>321918.45</v>
      </c>
      <c r="N644">
        <v>3163053.5999999992</v>
      </c>
    </row>
    <row r="645" spans="1:14" s="334" customFormat="1" ht="17.100000000000001" customHeight="1" x14ac:dyDescent="0.25">
      <c r="A645" s="137">
        <v>5</v>
      </c>
      <c r="B645" s="166" t="s">
        <v>390</v>
      </c>
      <c r="C645" s="944">
        <v>11</v>
      </c>
      <c r="D645" s="944">
        <v>367.7</v>
      </c>
      <c r="E645" s="944">
        <v>477526</v>
      </c>
      <c r="F645" s="944">
        <f>E645*540</f>
        <v>257864040</v>
      </c>
      <c r="G645" s="1028">
        <f>E645*88</f>
        <v>42022288</v>
      </c>
      <c r="H645" s="1028">
        <v>250</v>
      </c>
      <c r="I645" s="819">
        <f t="shared" si="64"/>
        <v>540</v>
      </c>
      <c r="J645" s="819">
        <v>540</v>
      </c>
      <c r="K645" s="819">
        <f t="shared" si="66"/>
        <v>88</v>
      </c>
      <c r="L645" s="1075" t="s">
        <v>44</v>
      </c>
      <c r="M645">
        <v>477526.06999999995</v>
      </c>
      <c r="N645">
        <v>7628544.5</v>
      </c>
    </row>
    <row r="646" spans="1:14" s="334" customFormat="1" ht="17.100000000000001" customHeight="1" x14ac:dyDescent="0.25">
      <c r="A646" s="137">
        <v>6</v>
      </c>
      <c r="B646" s="166" t="s">
        <v>649</v>
      </c>
      <c r="C646" s="944">
        <v>4</v>
      </c>
      <c r="D646" s="944">
        <v>19.170000000000002</v>
      </c>
      <c r="E646" s="944">
        <v>0</v>
      </c>
      <c r="F646" s="1025">
        <v>0</v>
      </c>
      <c r="G646" s="944">
        <v>0</v>
      </c>
      <c r="H646" s="1027"/>
      <c r="I646" s="819"/>
      <c r="J646" s="819"/>
      <c r="K646" s="819"/>
    </row>
    <row r="647" spans="1:14" s="387" customFormat="1" ht="17.100000000000001" customHeight="1" x14ac:dyDescent="0.25">
      <c r="A647" s="186">
        <v>7</v>
      </c>
      <c r="B647" s="613" t="s">
        <v>54</v>
      </c>
      <c r="C647" s="944">
        <v>0</v>
      </c>
      <c r="D647" s="944">
        <v>0</v>
      </c>
      <c r="E647" s="944">
        <v>0</v>
      </c>
      <c r="F647" s="944">
        <v>0</v>
      </c>
      <c r="G647" s="944">
        <v>0</v>
      </c>
      <c r="H647" s="944"/>
      <c r="I647" s="819"/>
      <c r="J647" s="819"/>
      <c r="K647" s="828"/>
    </row>
    <row r="648" spans="1:14" s="334" customFormat="1" ht="17.100000000000001" customHeight="1" x14ac:dyDescent="0.3">
      <c r="A648" s="137">
        <v>8</v>
      </c>
      <c r="B648" s="166" t="s">
        <v>28</v>
      </c>
      <c r="C648" s="1037">
        <v>1</v>
      </c>
      <c r="D648" s="1038">
        <v>5</v>
      </c>
      <c r="E648" s="944">
        <v>0</v>
      </c>
      <c r="F648" s="944">
        <v>0</v>
      </c>
      <c r="G648" s="944">
        <v>0</v>
      </c>
      <c r="H648" s="944"/>
      <c r="I648" s="819"/>
      <c r="J648" s="819"/>
      <c r="K648" s="819"/>
    </row>
    <row r="649" spans="1:14" s="334" customFormat="1" ht="17.100000000000001" customHeight="1" x14ac:dyDescent="0.25">
      <c r="A649" s="137"/>
      <c r="B649" s="166" t="s">
        <v>75</v>
      </c>
      <c r="C649" s="944">
        <v>0</v>
      </c>
      <c r="D649" s="944">
        <v>0</v>
      </c>
      <c r="E649" s="944"/>
      <c r="F649" s="944"/>
      <c r="G649" s="944">
        <v>1955876</v>
      </c>
      <c r="H649" s="944"/>
      <c r="I649" s="819"/>
      <c r="J649" s="819"/>
      <c r="K649" s="819"/>
    </row>
    <row r="650" spans="1:14" s="334" customFormat="1" ht="17.100000000000001" customHeight="1" x14ac:dyDescent="0.25">
      <c r="A650" s="206"/>
      <c r="B650" s="307" t="s">
        <v>49</v>
      </c>
      <c r="C650" s="944">
        <v>0</v>
      </c>
      <c r="D650" s="944">
        <v>0</v>
      </c>
      <c r="E650" s="944"/>
      <c r="F650" s="944"/>
      <c r="G650" s="944">
        <v>25466984</v>
      </c>
      <c r="H650" s="944"/>
      <c r="I650" s="819"/>
      <c r="J650" s="819"/>
      <c r="K650" s="819"/>
    </row>
    <row r="651" spans="1:14" s="334" customFormat="1" ht="17.100000000000001" customHeight="1" x14ac:dyDescent="0.25">
      <c r="A651" s="1212" t="s">
        <v>50</v>
      </c>
      <c r="B651" s="1198"/>
      <c r="C651" s="335">
        <f>SUM(C641:C650)</f>
        <v>261</v>
      </c>
      <c r="D651" s="335">
        <f t="shared" ref="D651:H651" si="70">SUM(D641:D650)</f>
        <v>2082.3200000000002</v>
      </c>
      <c r="E651" s="335">
        <f t="shared" si="70"/>
        <v>6963788</v>
      </c>
      <c r="F651" s="335">
        <f>SUM(F641:F650)</f>
        <v>1801337794</v>
      </c>
      <c r="G651" s="335">
        <f>SUM(G641:G650)</f>
        <v>311593669</v>
      </c>
      <c r="H651" s="335">
        <f t="shared" si="70"/>
        <v>1405</v>
      </c>
      <c r="I651" s="819"/>
      <c r="J651" s="819"/>
      <c r="K651" s="819"/>
    </row>
    <row r="652" spans="1:14" s="334" customFormat="1" ht="17.100000000000001" customHeight="1" x14ac:dyDescent="0.25">
      <c r="A652" s="343"/>
      <c r="B652" s="349"/>
      <c r="C652" s="349"/>
      <c r="D652" s="350"/>
      <c r="E652" s="350"/>
      <c r="F652" s="351"/>
      <c r="G652" s="351"/>
      <c r="H652" s="347"/>
      <c r="I652" s="819"/>
      <c r="J652" s="819"/>
      <c r="K652" s="819"/>
    </row>
    <row r="653" spans="1:14" s="387" customFormat="1" ht="17.100000000000001" customHeight="1" x14ac:dyDescent="0.25">
      <c r="A653" s="1189" t="s">
        <v>99</v>
      </c>
      <c r="B653" s="1189"/>
      <c r="C653" s="1189"/>
      <c r="D653" s="1189"/>
      <c r="E653" s="1189"/>
      <c r="F653" s="1189"/>
      <c r="G653" s="1189"/>
      <c r="H653" s="1189"/>
      <c r="I653" s="828"/>
      <c r="J653" s="819"/>
      <c r="K653" s="828"/>
    </row>
    <row r="654" spans="1:14" s="334" customFormat="1" ht="17.100000000000001" customHeight="1" x14ac:dyDescent="0.25">
      <c r="A654" s="1184" t="s">
        <v>182</v>
      </c>
      <c r="B654" s="1184" t="s">
        <v>3</v>
      </c>
      <c r="C654" s="1184" t="s">
        <v>4</v>
      </c>
      <c r="D654" s="336" t="s">
        <v>5</v>
      </c>
      <c r="E654" s="337" t="s">
        <v>6</v>
      </c>
      <c r="F654" s="338" t="s">
        <v>7</v>
      </c>
      <c r="G654" s="338" t="s">
        <v>8</v>
      </c>
      <c r="H654" s="337" t="s">
        <v>9</v>
      </c>
      <c r="I654" s="819"/>
      <c r="J654" s="819"/>
      <c r="K654" s="819"/>
    </row>
    <row r="655" spans="1:14" s="334" customFormat="1" ht="17.100000000000001" customHeight="1" x14ac:dyDescent="0.25">
      <c r="A655" s="1185"/>
      <c r="B655" s="1196"/>
      <c r="C655" s="1196"/>
      <c r="D655" s="947" t="s">
        <v>380</v>
      </c>
      <c r="E655" s="339" t="s">
        <v>79</v>
      </c>
      <c r="F655" s="948" t="s">
        <v>632</v>
      </c>
      <c r="G655" s="948" t="s">
        <v>671</v>
      </c>
      <c r="H655" s="339" t="s">
        <v>13</v>
      </c>
      <c r="I655" s="819"/>
      <c r="J655" s="819"/>
      <c r="K655" s="819"/>
    </row>
    <row r="656" spans="1:14" s="334" customFormat="1" ht="17.100000000000001" customHeight="1" x14ac:dyDescent="0.25">
      <c r="A656" s="950">
        <v>1</v>
      </c>
      <c r="B656" s="942" t="s">
        <v>62</v>
      </c>
      <c r="C656" s="970">
        <v>41</v>
      </c>
      <c r="D656" s="970">
        <v>69.11</v>
      </c>
      <c r="E656" s="970">
        <f>68244+13650</f>
        <v>81894</v>
      </c>
      <c r="F656" s="970">
        <f>E656*1650</f>
        <v>135125100</v>
      </c>
      <c r="G656" s="970">
        <f>E656*225</f>
        <v>18426150</v>
      </c>
      <c r="H656" s="970">
        <v>150</v>
      </c>
      <c r="I656" s="819">
        <f t="shared" ref="I656:I716" si="71">F656/E656</f>
        <v>1650</v>
      </c>
      <c r="J656" s="819">
        <v>1799.2295304994864</v>
      </c>
      <c r="K656" s="819">
        <f t="shared" si="66"/>
        <v>225</v>
      </c>
      <c r="L656" s="1075" t="s">
        <v>27</v>
      </c>
      <c r="M656">
        <v>28668.239999999998</v>
      </c>
    </row>
    <row r="657" spans="1:21" s="334" customFormat="1" ht="17.100000000000001" customHeight="1" x14ac:dyDescent="0.25">
      <c r="A657" s="950">
        <v>2</v>
      </c>
      <c r="B657" s="942" t="s">
        <v>40</v>
      </c>
      <c r="C657" s="942">
        <v>0</v>
      </c>
      <c r="D657" s="942">
        <v>0</v>
      </c>
      <c r="E657" s="942">
        <v>211839</v>
      </c>
      <c r="F657" s="942">
        <f>E657*605</f>
        <v>128162595</v>
      </c>
      <c r="G657" s="942">
        <f>E657*105</f>
        <v>22243095</v>
      </c>
      <c r="H657" s="942">
        <v>100</v>
      </c>
      <c r="I657" s="819">
        <f t="shared" si="71"/>
        <v>605</v>
      </c>
      <c r="J657" s="819" t="e">
        <v>#DIV/0!</v>
      </c>
      <c r="K657" s="819">
        <f t="shared" si="66"/>
        <v>105</v>
      </c>
      <c r="L657" s="1075" t="s">
        <v>41</v>
      </c>
      <c r="M657">
        <v>193867.72999999998</v>
      </c>
    </row>
    <row r="658" spans="1:21" s="334" customFormat="1" ht="17.100000000000001" customHeight="1" x14ac:dyDescent="0.25">
      <c r="A658" s="950">
        <v>3</v>
      </c>
      <c r="B658" s="942" t="s">
        <v>68</v>
      </c>
      <c r="C658" s="942">
        <v>3</v>
      </c>
      <c r="D658" s="976">
        <v>4</v>
      </c>
      <c r="E658" s="1030">
        <v>0</v>
      </c>
      <c r="F658" s="942">
        <v>0</v>
      </c>
      <c r="G658" s="1030">
        <v>0</v>
      </c>
      <c r="H658" s="1030">
        <v>0</v>
      </c>
      <c r="I658" s="819" t="e">
        <f t="shared" si="71"/>
        <v>#DIV/0!</v>
      </c>
      <c r="J658" s="819">
        <v>200</v>
      </c>
      <c r="K658" s="819"/>
      <c r="L658" s="1075" t="s">
        <v>58</v>
      </c>
      <c r="M658">
        <v>30215.74</v>
      </c>
    </row>
    <row r="659" spans="1:21" s="334" customFormat="1" ht="17.100000000000001" customHeight="1" x14ac:dyDescent="0.25">
      <c r="A659" s="950">
        <v>4</v>
      </c>
      <c r="B659" s="949" t="s">
        <v>63</v>
      </c>
      <c r="C659" s="942">
        <v>0</v>
      </c>
      <c r="D659" s="976">
        <v>0</v>
      </c>
      <c r="E659" s="1030">
        <v>3219</v>
      </c>
      <c r="F659" s="942">
        <f>E659*210</f>
        <v>675990</v>
      </c>
      <c r="G659" s="1030">
        <f>E659*25</f>
        <v>80475</v>
      </c>
      <c r="H659" s="1030">
        <v>10</v>
      </c>
      <c r="I659" s="819">
        <f t="shared" si="71"/>
        <v>210</v>
      </c>
      <c r="J659" s="819" t="e">
        <v>#DIV/0!</v>
      </c>
      <c r="K659" s="819">
        <f t="shared" si="66"/>
        <v>25</v>
      </c>
      <c r="L659" s="1075" t="s">
        <v>62</v>
      </c>
      <c r="M659">
        <v>68244.38</v>
      </c>
    </row>
    <row r="660" spans="1:21" s="334" customFormat="1" ht="17.100000000000001" customHeight="1" x14ac:dyDescent="0.25">
      <c r="A660" s="950">
        <v>5</v>
      </c>
      <c r="B660" s="944" t="s">
        <v>59</v>
      </c>
      <c r="C660" s="942">
        <v>0</v>
      </c>
      <c r="D660" s="976">
        <v>0</v>
      </c>
      <c r="E660" s="1030">
        <v>0</v>
      </c>
      <c r="F660" s="942">
        <v>0</v>
      </c>
      <c r="G660" s="1030">
        <v>0</v>
      </c>
      <c r="H660" s="1030">
        <v>0</v>
      </c>
      <c r="I660" s="819" t="e">
        <f t="shared" si="71"/>
        <v>#DIV/0!</v>
      </c>
      <c r="J660" s="819" t="e">
        <v>#DIV/0!</v>
      </c>
      <c r="K660" s="819" t="e">
        <f t="shared" si="66"/>
        <v>#DIV/0!</v>
      </c>
      <c r="L660" s="1075" t="s">
        <v>664</v>
      </c>
      <c r="M660">
        <v>13650.59</v>
      </c>
    </row>
    <row r="661" spans="1:21" s="334" customFormat="1" ht="17.100000000000001" customHeight="1" x14ac:dyDescent="0.25">
      <c r="A661" s="950">
        <v>6</v>
      </c>
      <c r="B661" s="944" t="s">
        <v>402</v>
      </c>
      <c r="C661" s="942">
        <v>14</v>
      </c>
      <c r="D661" s="943">
        <v>920.07</v>
      </c>
      <c r="E661" s="1030">
        <v>32386</v>
      </c>
      <c r="F661" s="942">
        <f>E661*650</f>
        <v>21050900</v>
      </c>
      <c r="G661" s="1030">
        <f>E661*60</f>
        <v>1943160</v>
      </c>
      <c r="H661" s="1030"/>
      <c r="I661" s="819">
        <f t="shared" si="71"/>
        <v>650</v>
      </c>
      <c r="J661" s="819">
        <v>1450</v>
      </c>
      <c r="K661" s="819">
        <f t="shared" ref="K661:K721" si="72">G661/E661</f>
        <v>60</v>
      </c>
      <c r="L661" s="1075" t="s">
        <v>661</v>
      </c>
      <c r="M661">
        <v>3219.2799999999997</v>
      </c>
    </row>
    <row r="662" spans="1:21" s="334" customFormat="1" ht="17.100000000000001" customHeight="1" x14ac:dyDescent="0.25">
      <c r="A662" s="950">
        <v>7</v>
      </c>
      <c r="B662" s="949" t="s">
        <v>46</v>
      </c>
      <c r="C662" s="942">
        <v>5</v>
      </c>
      <c r="D662" s="943">
        <v>0</v>
      </c>
      <c r="E662" s="1030">
        <v>25143</v>
      </c>
      <c r="F662" s="942">
        <f>E662*1350</f>
        <v>33943050</v>
      </c>
      <c r="G662" s="1030">
        <f>E662*290</f>
        <v>7291470</v>
      </c>
      <c r="H662" s="1030">
        <v>100</v>
      </c>
      <c r="I662" s="819">
        <f t="shared" si="71"/>
        <v>1350</v>
      </c>
      <c r="J662" s="819">
        <v>1800</v>
      </c>
      <c r="K662" s="819">
        <f t="shared" si="72"/>
        <v>290</v>
      </c>
      <c r="L662" s="1075" t="s">
        <v>40</v>
      </c>
      <c r="M662">
        <v>211839.71</v>
      </c>
    </row>
    <row r="663" spans="1:21" s="334" customFormat="1" ht="17.100000000000001" customHeight="1" x14ac:dyDescent="0.25">
      <c r="A663" s="950">
        <v>8</v>
      </c>
      <c r="B663" s="944" t="s">
        <v>27</v>
      </c>
      <c r="C663" s="942">
        <v>20</v>
      </c>
      <c r="D663" s="943">
        <v>14.3</v>
      </c>
      <c r="E663" s="1030">
        <v>28668</v>
      </c>
      <c r="F663" s="942">
        <f>E663*1800</f>
        <v>51602400</v>
      </c>
      <c r="G663" s="1030">
        <f>E663*260</f>
        <v>7453680</v>
      </c>
      <c r="H663" s="1030"/>
      <c r="I663" s="1049">
        <v>1800</v>
      </c>
      <c r="J663" s="1049">
        <v>586.72724914662285</v>
      </c>
      <c r="K663" s="819">
        <f t="shared" si="72"/>
        <v>260</v>
      </c>
      <c r="L663" s="1075" t="s">
        <v>46</v>
      </c>
      <c r="M663">
        <v>25143.66</v>
      </c>
    </row>
    <row r="664" spans="1:21" s="334" customFormat="1" ht="17.100000000000001" customHeight="1" x14ac:dyDescent="0.25">
      <c r="A664" s="950">
        <v>9</v>
      </c>
      <c r="B664" s="944" t="s">
        <v>41</v>
      </c>
      <c r="C664" s="942">
        <v>10</v>
      </c>
      <c r="D664" s="943">
        <v>14.3</v>
      </c>
      <c r="E664" s="1030">
        <v>193867</v>
      </c>
      <c r="F664" s="942">
        <f>E664*490</f>
        <v>94994830</v>
      </c>
      <c r="G664" s="1030">
        <f>E664*125</f>
        <v>24233375</v>
      </c>
      <c r="H664" s="1030">
        <v>150</v>
      </c>
      <c r="I664" s="1049">
        <f t="shared" si="71"/>
        <v>490</v>
      </c>
      <c r="J664" s="1049">
        <v>2250</v>
      </c>
      <c r="K664" s="819">
        <f t="shared" si="72"/>
        <v>125</v>
      </c>
    </row>
    <row r="665" spans="1:21" s="334" customFormat="1" ht="17.100000000000001" customHeight="1" x14ac:dyDescent="0.25">
      <c r="A665" s="950">
        <v>10</v>
      </c>
      <c r="B665" s="949" t="s">
        <v>58</v>
      </c>
      <c r="C665" s="989">
        <v>1</v>
      </c>
      <c r="D665" s="989">
        <v>2.2999999999999998</v>
      </c>
      <c r="E665" s="989">
        <v>30215</v>
      </c>
      <c r="F665" s="989">
        <f>E665*2150</f>
        <v>64962250</v>
      </c>
      <c r="G665" s="989">
        <f>E665*285</f>
        <v>8611275</v>
      </c>
      <c r="H665" s="989">
        <v>20</v>
      </c>
      <c r="I665" s="819">
        <f t="shared" si="71"/>
        <v>2150</v>
      </c>
      <c r="J665" s="819" t="e">
        <v>#DIV/0!</v>
      </c>
      <c r="K665" s="819">
        <f t="shared" si="72"/>
        <v>285</v>
      </c>
    </row>
    <row r="666" spans="1:21" s="334" customFormat="1" ht="17.100000000000001" customHeight="1" x14ac:dyDescent="0.25">
      <c r="A666" s="950"/>
      <c r="B666" s="944" t="s">
        <v>75</v>
      </c>
      <c r="C666" s="942">
        <v>0</v>
      </c>
      <c r="D666" s="942">
        <v>0</v>
      </c>
      <c r="E666" s="942"/>
      <c r="F666" s="942"/>
      <c r="G666" s="1030">
        <v>1259000</v>
      </c>
      <c r="H666" s="942"/>
      <c r="I666" s="819"/>
      <c r="J666" s="819"/>
      <c r="K666" s="819"/>
    </row>
    <row r="667" spans="1:21" s="334" customFormat="1" ht="17.100000000000001" customHeight="1" x14ac:dyDescent="0.25">
      <c r="A667" s="950"/>
      <c r="B667" s="944" t="s">
        <v>49</v>
      </c>
      <c r="C667" s="942">
        <v>0</v>
      </c>
      <c r="D667" s="942">
        <v>0</v>
      </c>
      <c r="E667" s="942"/>
      <c r="F667" s="942"/>
      <c r="G667" s="1030">
        <v>2171283</v>
      </c>
      <c r="H667" s="942"/>
      <c r="I667" s="819"/>
      <c r="J667" s="819"/>
      <c r="K667" s="819"/>
    </row>
    <row r="668" spans="1:21" s="334" customFormat="1" ht="17.100000000000001" customHeight="1" x14ac:dyDescent="0.25">
      <c r="A668" s="1182" t="s">
        <v>50</v>
      </c>
      <c r="B668" s="1198"/>
      <c r="C668" s="941">
        <f>SUM(C656:C667)</f>
        <v>94</v>
      </c>
      <c r="D668" s="941">
        <f t="shared" ref="D668" si="73">SUM(D656:D667)</f>
        <v>1024.08</v>
      </c>
      <c r="E668" s="952">
        <f>SUM(E656:E667)</f>
        <v>607231</v>
      </c>
      <c r="F668" s="941">
        <f>SUM(F656:F667)</f>
        <v>530517115</v>
      </c>
      <c r="G668" s="952">
        <f>SUM(G656:G667)</f>
        <v>93712963</v>
      </c>
      <c r="H668" s="952">
        <f>SUM(H656:H667)</f>
        <v>530</v>
      </c>
      <c r="I668" s="819"/>
      <c r="J668" s="819"/>
      <c r="K668" s="819"/>
    </row>
    <row r="669" spans="1:21" s="334" customFormat="1" ht="17.100000000000001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819"/>
      <c r="J669" s="819"/>
      <c r="K669" s="819"/>
    </row>
    <row r="670" spans="1:21" s="387" customFormat="1" ht="17.100000000000001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819"/>
      <c r="J670" s="819"/>
      <c r="K670" s="819"/>
      <c r="L670" s="334"/>
      <c r="M670" s="334"/>
      <c r="N670" s="334"/>
      <c r="O670" s="334"/>
      <c r="P670" s="334"/>
      <c r="Q670" s="334"/>
      <c r="R670" s="334"/>
      <c r="S670" s="334"/>
      <c r="T670" s="334"/>
      <c r="U670" s="334"/>
    </row>
    <row r="671" spans="1:21" s="387" customFormat="1" ht="17.100000000000001" customHeight="1" x14ac:dyDescent="0.25">
      <c r="A671" s="1193" t="s">
        <v>125</v>
      </c>
      <c r="B671" s="1193"/>
      <c r="C671" s="1193"/>
      <c r="D671" s="1193"/>
      <c r="E671" s="1193"/>
      <c r="F671" s="1193"/>
      <c r="G671" s="1193"/>
      <c r="H671" s="1193"/>
      <c r="I671" s="819"/>
      <c r="J671" s="819"/>
      <c r="K671" s="819"/>
      <c r="L671" s="334"/>
      <c r="M671" s="334"/>
      <c r="N671" s="334"/>
      <c r="O671" s="334"/>
      <c r="P671" s="334"/>
      <c r="Q671" s="334"/>
      <c r="R671" s="334"/>
      <c r="S671" s="334"/>
      <c r="T671" s="334"/>
      <c r="U671" s="334"/>
    </row>
    <row r="672" spans="1:21" s="387" customFormat="1" ht="17.100000000000001" customHeight="1" x14ac:dyDescent="0.25">
      <c r="A672" s="1184" t="s">
        <v>182</v>
      </c>
      <c r="B672" s="1184" t="s">
        <v>3</v>
      </c>
      <c r="C672" s="1184" t="s">
        <v>4</v>
      </c>
      <c r="D672" s="336" t="s">
        <v>5</v>
      </c>
      <c r="E672" s="337" t="s">
        <v>6</v>
      </c>
      <c r="F672" s="338" t="s">
        <v>7</v>
      </c>
      <c r="G672" s="338" t="s">
        <v>8</v>
      </c>
      <c r="H672" s="337" t="s">
        <v>9</v>
      </c>
      <c r="I672" s="819"/>
      <c r="J672" s="819"/>
      <c r="K672" s="819"/>
      <c r="L672" s="334"/>
      <c r="M672" s="334"/>
      <c r="N672" s="334"/>
      <c r="O672" s="334"/>
      <c r="P672" s="334"/>
      <c r="Q672" s="334"/>
      <c r="R672" s="334"/>
      <c r="S672" s="334"/>
      <c r="T672" s="334"/>
      <c r="U672" s="334"/>
    </row>
    <row r="673" spans="1:21" s="387" customFormat="1" ht="17.100000000000001" customHeight="1" x14ac:dyDescent="0.25">
      <c r="A673" s="1185"/>
      <c r="B673" s="1185"/>
      <c r="C673" s="1185"/>
      <c r="D673" s="302" t="s">
        <v>380</v>
      </c>
      <c r="E673" s="339" t="s">
        <v>79</v>
      </c>
      <c r="F673" s="340" t="s">
        <v>632</v>
      </c>
      <c r="G673" s="340" t="s">
        <v>671</v>
      </c>
      <c r="H673" s="303" t="s">
        <v>13</v>
      </c>
      <c r="I673" s="819"/>
      <c r="J673" s="819"/>
      <c r="K673" s="819"/>
      <c r="L673" s="334"/>
      <c r="M673" s="334"/>
      <c r="N673" s="334"/>
      <c r="O673" s="334"/>
      <c r="P673" s="334"/>
      <c r="Q673" s="334"/>
      <c r="R673" s="334"/>
      <c r="S673" s="334"/>
      <c r="T673" s="334"/>
      <c r="U673" s="334"/>
    </row>
    <row r="674" spans="1:21" s="387" customFormat="1" ht="17.100000000000001" customHeight="1" x14ac:dyDescent="0.25">
      <c r="A674" s="143">
        <v>1</v>
      </c>
      <c r="B674" s="63" t="s">
        <v>146</v>
      </c>
      <c r="C674" s="942">
        <v>43</v>
      </c>
      <c r="D674" s="942">
        <v>102.44</v>
      </c>
      <c r="E674" s="942">
        <v>850083</v>
      </c>
      <c r="F674" s="942">
        <v>178517610</v>
      </c>
      <c r="G674" s="942">
        <v>59605810</v>
      </c>
      <c r="H674" s="942">
        <v>540</v>
      </c>
      <c r="I674" s="1049">
        <f t="shared" si="71"/>
        <v>210.00021174402971</v>
      </c>
      <c r="J674" s="1049">
        <v>21.855704582084726</v>
      </c>
      <c r="K674" s="819">
        <f t="shared" si="72"/>
        <v>70.117635572055903</v>
      </c>
      <c r="L674" s="334"/>
      <c r="M674" s="334"/>
      <c r="N674" s="334"/>
      <c r="O674" s="334"/>
      <c r="P674" s="334"/>
      <c r="Q674" s="334"/>
      <c r="R674" s="334"/>
      <c r="S674" s="334"/>
      <c r="T674" s="334"/>
      <c r="U674" s="334"/>
    </row>
    <row r="675" spans="1:21" s="387" customFormat="1" ht="17.100000000000001" customHeight="1" x14ac:dyDescent="0.25">
      <c r="A675" s="143">
        <v>2</v>
      </c>
      <c r="B675" s="63" t="s">
        <v>59</v>
      </c>
      <c r="C675" s="942">
        <v>2</v>
      </c>
      <c r="D675" s="942">
        <v>1081.05</v>
      </c>
      <c r="E675" s="942">
        <v>2077748</v>
      </c>
      <c r="F675" s="942">
        <v>1142761681</v>
      </c>
      <c r="G675" s="942">
        <v>137110910</v>
      </c>
      <c r="H675" s="942">
        <v>350</v>
      </c>
      <c r="I675" s="819">
        <v>290</v>
      </c>
      <c r="J675" s="819" t="e">
        <v>#DIV/0!</v>
      </c>
      <c r="K675" s="819">
        <f t="shared" si="72"/>
        <v>65.990153762631465</v>
      </c>
      <c r="L675" s="334"/>
      <c r="M675" s="334"/>
      <c r="N675" s="334"/>
      <c r="O675" s="334"/>
      <c r="P675" s="334"/>
      <c r="Q675" s="334"/>
      <c r="R675" s="334"/>
      <c r="S675" s="334"/>
      <c r="T675" s="334"/>
      <c r="U675" s="334"/>
    </row>
    <row r="676" spans="1:21" s="387" customFormat="1" ht="17.100000000000001" customHeight="1" x14ac:dyDescent="0.25">
      <c r="A676" s="143">
        <v>3</v>
      </c>
      <c r="B676" s="63" t="s">
        <v>54</v>
      </c>
      <c r="C676" s="942">
        <v>0</v>
      </c>
      <c r="D676" s="942">
        <v>0</v>
      </c>
      <c r="E676" s="942">
        <v>11890</v>
      </c>
      <c r="F676" s="942">
        <v>2496900</v>
      </c>
      <c r="G676" s="942">
        <v>380480</v>
      </c>
      <c r="H676" s="942">
        <v>10</v>
      </c>
      <c r="I676" s="819">
        <f t="shared" si="71"/>
        <v>210</v>
      </c>
      <c r="J676" s="819" t="e">
        <v>#DIV/0!</v>
      </c>
      <c r="K676" s="819">
        <f t="shared" si="72"/>
        <v>32</v>
      </c>
      <c r="L676" s="334"/>
      <c r="M676" s="334"/>
      <c r="N676" s="334"/>
      <c r="O676" s="334"/>
      <c r="P676" s="334"/>
      <c r="Q676" s="334"/>
      <c r="R676" s="334"/>
      <c r="S676" s="334"/>
      <c r="T676" s="334"/>
      <c r="U676" s="334"/>
    </row>
    <row r="677" spans="1:21" s="387" customFormat="1" ht="17.100000000000001" customHeight="1" x14ac:dyDescent="0.25">
      <c r="A677" s="143">
        <v>4</v>
      </c>
      <c r="B677" s="274" t="s">
        <v>40</v>
      </c>
      <c r="C677" s="942">
        <v>3</v>
      </c>
      <c r="D677" s="942">
        <v>17.25</v>
      </c>
      <c r="E677" s="942">
        <v>20568</v>
      </c>
      <c r="F677" s="942">
        <v>12341352</v>
      </c>
      <c r="G677" s="942">
        <v>1966772</v>
      </c>
      <c r="H677" s="942">
        <v>150</v>
      </c>
      <c r="I677" s="819">
        <f t="shared" si="71"/>
        <v>600.02683780630105</v>
      </c>
      <c r="J677" s="819">
        <v>89.942830470961667</v>
      </c>
      <c r="K677" s="819">
        <f t="shared" si="72"/>
        <v>95.622909373784523</v>
      </c>
      <c r="L677" s="334"/>
      <c r="M677" s="334"/>
      <c r="N677" s="334"/>
      <c r="O677" s="334"/>
      <c r="P677" s="334"/>
      <c r="Q677" s="334"/>
      <c r="R677" s="334"/>
      <c r="S677" s="334"/>
      <c r="T677" s="334"/>
      <c r="U677" s="334"/>
    </row>
    <row r="678" spans="1:21" s="387" customFormat="1" ht="17.100000000000001" customHeight="1" x14ac:dyDescent="0.25">
      <c r="A678" s="143">
        <v>5</v>
      </c>
      <c r="B678" s="63" t="s">
        <v>205</v>
      </c>
      <c r="C678" s="942">
        <v>0</v>
      </c>
      <c r="D678" s="942">
        <v>0</v>
      </c>
      <c r="E678" s="942"/>
      <c r="F678" s="942"/>
      <c r="G678" s="942"/>
      <c r="H678" s="942"/>
      <c r="I678" s="819" t="e">
        <f t="shared" si="71"/>
        <v>#DIV/0!</v>
      </c>
      <c r="J678" s="819" t="e">
        <v>#DIV/0!</v>
      </c>
      <c r="K678" s="819" t="e">
        <f t="shared" si="72"/>
        <v>#DIV/0!</v>
      </c>
      <c r="L678" s="334"/>
      <c r="M678" s="334"/>
      <c r="N678" s="334"/>
      <c r="O678" s="334"/>
      <c r="P678" s="334"/>
      <c r="Q678" s="334"/>
      <c r="R678" s="334"/>
      <c r="S678" s="334"/>
      <c r="T678" s="334"/>
      <c r="U678" s="334"/>
    </row>
    <row r="679" spans="1:21" s="387" customFormat="1" ht="17.100000000000001" customHeight="1" x14ac:dyDescent="0.25">
      <c r="A679" s="143">
        <v>6</v>
      </c>
      <c r="B679" s="63" t="s">
        <v>68</v>
      </c>
      <c r="C679" s="942">
        <v>0</v>
      </c>
      <c r="D679" s="942">
        <v>0</v>
      </c>
      <c r="E679" s="942">
        <v>0</v>
      </c>
      <c r="F679" s="942">
        <v>0</v>
      </c>
      <c r="G679" s="942">
        <v>0</v>
      </c>
      <c r="H679" s="942">
        <v>0</v>
      </c>
      <c r="I679" s="819" t="e">
        <f t="shared" si="71"/>
        <v>#DIV/0!</v>
      </c>
      <c r="J679" s="819" t="e">
        <v>#DIV/0!</v>
      </c>
      <c r="K679" s="819" t="e">
        <f t="shared" si="72"/>
        <v>#DIV/0!</v>
      </c>
      <c r="L679" s="334"/>
      <c r="M679" s="334"/>
      <c r="N679" s="334"/>
      <c r="O679" s="334"/>
      <c r="P679" s="334"/>
      <c r="Q679" s="334"/>
      <c r="R679" s="334"/>
      <c r="S679" s="334"/>
      <c r="T679" s="334"/>
      <c r="U679" s="334"/>
    </row>
    <row r="680" spans="1:21" s="387" customFormat="1" ht="17.100000000000001" customHeight="1" x14ac:dyDescent="0.25">
      <c r="A680" s="143">
        <v>7</v>
      </c>
      <c r="B680" s="274" t="s">
        <v>407</v>
      </c>
      <c r="C680" s="942">
        <v>1</v>
      </c>
      <c r="D680" s="942">
        <v>23.94</v>
      </c>
      <c r="E680" s="942">
        <v>24341</v>
      </c>
      <c r="F680" s="942">
        <v>10710136</v>
      </c>
      <c r="G680" s="942">
        <v>1734579</v>
      </c>
      <c r="H680" s="942">
        <v>25</v>
      </c>
      <c r="I680" s="819">
        <f t="shared" si="71"/>
        <v>440.003943962861</v>
      </c>
      <c r="J680" s="819">
        <v>64.999828439006109</v>
      </c>
      <c r="K680" s="819">
        <f t="shared" si="72"/>
        <v>71.261616203114087</v>
      </c>
      <c r="L680" s="334"/>
      <c r="M680" s="334"/>
      <c r="N680" s="334"/>
      <c r="O680" s="334"/>
      <c r="P680" s="334"/>
      <c r="Q680" s="334"/>
      <c r="R680" s="334"/>
      <c r="S680" s="334"/>
      <c r="T680" s="334"/>
      <c r="U680" s="334"/>
    </row>
    <row r="681" spans="1:21" s="387" customFormat="1" ht="17.100000000000001" customHeight="1" x14ac:dyDescent="0.25">
      <c r="A681" s="143">
        <v>8</v>
      </c>
      <c r="B681" s="274" t="s">
        <v>58</v>
      </c>
      <c r="C681" s="942">
        <v>1</v>
      </c>
      <c r="D681" s="942">
        <v>1.04</v>
      </c>
      <c r="E681" s="942">
        <v>291</v>
      </c>
      <c r="F681" s="942">
        <v>626209</v>
      </c>
      <c r="G681" s="942">
        <v>84465</v>
      </c>
      <c r="H681" s="942">
        <v>25</v>
      </c>
      <c r="I681" s="819">
        <f t="shared" si="71"/>
        <v>2151.9209621993127</v>
      </c>
      <c r="J681" s="819"/>
      <c r="K681" s="819">
        <f t="shared" si="72"/>
        <v>290.25773195876286</v>
      </c>
      <c r="L681" s="334"/>
      <c r="M681" s="334"/>
      <c r="N681" s="334"/>
      <c r="O681" s="334"/>
      <c r="P681" s="334"/>
      <c r="Q681" s="334"/>
      <c r="R681" s="334"/>
      <c r="S681" s="334"/>
      <c r="T681" s="334"/>
      <c r="U681" s="334"/>
    </row>
    <row r="682" spans="1:21" s="387" customFormat="1" ht="17.100000000000001" customHeight="1" x14ac:dyDescent="0.25">
      <c r="A682" s="143">
        <v>9</v>
      </c>
      <c r="B682" s="274" t="s">
        <v>65</v>
      </c>
      <c r="C682" s="942">
        <v>0</v>
      </c>
      <c r="D682" s="942">
        <v>0</v>
      </c>
      <c r="E682" s="942">
        <v>625000</v>
      </c>
      <c r="F682" s="942">
        <v>37500000</v>
      </c>
      <c r="G682" s="942">
        <v>3921860</v>
      </c>
      <c r="H682" s="942">
        <v>25</v>
      </c>
      <c r="I682" s="819">
        <f t="shared" si="71"/>
        <v>60</v>
      </c>
      <c r="J682" s="819"/>
      <c r="K682" s="819">
        <f t="shared" si="72"/>
        <v>6.2749759999999997</v>
      </c>
      <c r="L682" s="334"/>
      <c r="M682" s="334"/>
      <c r="N682" s="334"/>
      <c r="O682" s="334"/>
      <c r="P682" s="334"/>
      <c r="Q682" s="334"/>
      <c r="R682" s="334"/>
      <c r="S682" s="334"/>
      <c r="T682" s="334"/>
      <c r="U682" s="334"/>
    </row>
    <row r="683" spans="1:21" s="387" customFormat="1" ht="17.100000000000001" customHeight="1" x14ac:dyDescent="0.25">
      <c r="A683" s="143"/>
      <c r="B683" s="63" t="s">
        <v>75</v>
      </c>
      <c r="C683" s="942">
        <v>0</v>
      </c>
      <c r="D683" s="942">
        <v>0</v>
      </c>
      <c r="E683" s="942"/>
      <c r="F683" s="942"/>
      <c r="G683" s="942">
        <v>11347361</v>
      </c>
      <c r="H683" s="942"/>
      <c r="I683" s="819"/>
      <c r="J683" s="819"/>
      <c r="K683" s="819"/>
      <c r="L683" s="334"/>
      <c r="M683" s="334"/>
      <c r="N683" s="334"/>
      <c r="O683" s="334"/>
      <c r="P683" s="334"/>
      <c r="Q683" s="334"/>
      <c r="R683" s="334"/>
      <c r="S683" s="334"/>
      <c r="T683" s="334"/>
      <c r="U683" s="334"/>
    </row>
    <row r="684" spans="1:21" s="387" customFormat="1" ht="17.100000000000001" customHeight="1" x14ac:dyDescent="0.25">
      <c r="A684" s="143"/>
      <c r="B684" s="63" t="s">
        <v>49</v>
      </c>
      <c r="C684" s="942">
        <v>0</v>
      </c>
      <c r="D684" s="942">
        <v>0</v>
      </c>
      <c r="E684" s="942"/>
      <c r="F684" s="942"/>
      <c r="G684" s="942">
        <v>16864874</v>
      </c>
      <c r="H684" s="942"/>
      <c r="I684" s="819"/>
      <c r="J684" s="819"/>
      <c r="K684" s="819"/>
      <c r="L684" s="334"/>
      <c r="M684" s="334"/>
      <c r="N684" s="334"/>
      <c r="O684" s="334"/>
      <c r="P684" s="334"/>
      <c r="Q684" s="334"/>
      <c r="R684" s="334"/>
      <c r="S684" s="334"/>
      <c r="T684" s="334"/>
      <c r="U684" s="334"/>
    </row>
    <row r="685" spans="1:21" s="387" customFormat="1" ht="17.100000000000001" customHeight="1" x14ac:dyDescent="0.25">
      <c r="A685" s="1194" t="s">
        <v>50</v>
      </c>
      <c r="B685" s="1195"/>
      <c r="C685" s="380">
        <f>SUM(C674:C684)</f>
        <v>50</v>
      </c>
      <c r="D685" s="380">
        <f t="shared" ref="D685:H685" si="74">SUM(D674:D684)</f>
        <v>1225.72</v>
      </c>
      <c r="E685" s="380">
        <f t="shared" si="74"/>
        <v>3609921</v>
      </c>
      <c r="F685" s="380">
        <f t="shared" si="74"/>
        <v>1384953888</v>
      </c>
      <c r="G685" s="380">
        <f t="shared" si="74"/>
        <v>233017111</v>
      </c>
      <c r="H685" s="380">
        <f t="shared" si="74"/>
        <v>1125</v>
      </c>
      <c r="I685" s="819"/>
      <c r="J685" s="819"/>
      <c r="K685" s="819"/>
      <c r="L685" s="334"/>
      <c r="M685" s="334"/>
      <c r="N685" s="334"/>
      <c r="O685" s="334"/>
      <c r="P685" s="334"/>
      <c r="Q685" s="334"/>
      <c r="R685" s="334"/>
      <c r="S685" s="334"/>
      <c r="T685" s="334"/>
      <c r="U685" s="334"/>
    </row>
    <row r="686" spans="1:21" s="387" customFormat="1" ht="17.100000000000001" customHeight="1" x14ac:dyDescent="0.25">
      <c r="A686" s="388"/>
      <c r="B686" s="389"/>
      <c r="C686" s="389"/>
      <c r="D686" s="390"/>
      <c r="E686" s="389"/>
      <c r="F686" s="391"/>
      <c r="G686" s="391"/>
      <c r="H686" s="392"/>
      <c r="I686" s="819"/>
      <c r="J686" s="819"/>
      <c r="K686" s="819"/>
      <c r="L686" s="334"/>
      <c r="M686" s="334"/>
      <c r="N686" s="334"/>
      <c r="O686" s="334"/>
      <c r="P686" s="334"/>
      <c r="Q686" s="334"/>
      <c r="R686" s="334"/>
      <c r="S686" s="334"/>
      <c r="T686" s="334"/>
      <c r="U686" s="334"/>
    </row>
    <row r="687" spans="1:21" s="387" customFormat="1" ht="9.75" customHeight="1" x14ac:dyDescent="0.25">
      <c r="A687" s="388"/>
      <c r="B687" s="389"/>
      <c r="C687" s="389"/>
      <c r="D687" s="390"/>
      <c r="E687" s="389"/>
      <c r="F687" s="391"/>
      <c r="G687" s="391"/>
      <c r="H687" s="392"/>
      <c r="I687" s="819"/>
      <c r="J687" s="819"/>
      <c r="K687" s="819"/>
      <c r="L687" s="334"/>
      <c r="M687" s="334"/>
      <c r="N687" s="334"/>
      <c r="O687" s="334"/>
      <c r="P687" s="334"/>
      <c r="Q687" s="334"/>
      <c r="R687" s="334"/>
      <c r="S687" s="334"/>
      <c r="T687" s="334"/>
      <c r="U687" s="334"/>
    </row>
    <row r="688" spans="1:21" s="387" customFormat="1" ht="17.100000000000001" customHeight="1" x14ac:dyDescent="0.25">
      <c r="A688" s="1188" t="s">
        <v>376</v>
      </c>
      <c r="B688" s="1188"/>
      <c r="C688" s="1188"/>
      <c r="D688" s="1188"/>
      <c r="E688" s="1188"/>
      <c r="F688" s="1188"/>
      <c r="G688" s="1188"/>
      <c r="H688" s="1188"/>
      <c r="I688" s="819"/>
      <c r="J688" s="819"/>
      <c r="K688" s="819"/>
      <c r="L688" s="334"/>
      <c r="M688" s="334"/>
      <c r="N688" s="334"/>
      <c r="O688" s="334"/>
      <c r="P688" s="334"/>
      <c r="Q688" s="334"/>
      <c r="R688" s="334"/>
      <c r="S688" s="334"/>
      <c r="T688" s="334"/>
      <c r="U688" s="334"/>
    </row>
    <row r="689" spans="1:21" s="387" customFormat="1" ht="17.100000000000001" customHeight="1" x14ac:dyDescent="0.25">
      <c r="A689" s="1184" t="s">
        <v>182</v>
      </c>
      <c r="B689" s="1184" t="s">
        <v>3</v>
      </c>
      <c r="C689" s="1184" t="s">
        <v>4</v>
      </c>
      <c r="D689" s="336" t="s">
        <v>5</v>
      </c>
      <c r="E689" s="337" t="s">
        <v>6</v>
      </c>
      <c r="F689" s="338" t="s">
        <v>7</v>
      </c>
      <c r="G689" s="338" t="s">
        <v>8</v>
      </c>
      <c r="H689" s="337" t="s">
        <v>9</v>
      </c>
      <c r="I689" s="819"/>
      <c r="J689" s="819"/>
      <c r="K689" s="819"/>
      <c r="L689" s="334"/>
      <c r="M689" s="334"/>
      <c r="N689" s="334"/>
      <c r="O689" s="334"/>
      <c r="P689" s="334"/>
      <c r="Q689" s="334"/>
      <c r="R689" s="334"/>
      <c r="S689" s="334"/>
      <c r="T689" s="334"/>
      <c r="U689" s="334"/>
    </row>
    <row r="690" spans="1:21" s="387" customFormat="1" ht="17.100000000000001" customHeight="1" x14ac:dyDescent="0.25">
      <c r="A690" s="1185"/>
      <c r="B690" s="1185"/>
      <c r="C690" s="1185"/>
      <c r="D690" s="302" t="s">
        <v>380</v>
      </c>
      <c r="E690" s="339" t="s">
        <v>79</v>
      </c>
      <c r="F690" s="340" t="s">
        <v>632</v>
      </c>
      <c r="G690" s="340" t="s">
        <v>671</v>
      </c>
      <c r="H690" s="303" t="s">
        <v>13</v>
      </c>
      <c r="I690" s="819"/>
      <c r="J690" s="819"/>
      <c r="K690" s="819"/>
      <c r="L690" s="334"/>
      <c r="M690" s="334"/>
      <c r="N690" s="334"/>
      <c r="O690" s="334"/>
      <c r="P690" s="334"/>
      <c r="Q690" s="334"/>
      <c r="R690" s="334"/>
      <c r="S690" s="334"/>
      <c r="T690" s="334"/>
      <c r="U690" s="334"/>
    </row>
    <row r="691" spans="1:21" s="387" customFormat="1" ht="17.100000000000001" customHeight="1" x14ac:dyDescent="0.25">
      <c r="A691" s="145">
        <v>1</v>
      </c>
      <c r="B691" s="63" t="s">
        <v>62</v>
      </c>
      <c r="C691" s="942">
        <v>80</v>
      </c>
      <c r="D691" s="976">
        <v>144.96</v>
      </c>
      <c r="E691" s="1030">
        <v>715485</v>
      </c>
      <c r="F691" s="942">
        <f>E691*1850</f>
        <v>1323647250</v>
      </c>
      <c r="G691" s="1030">
        <f>E691*306</f>
        <v>218938410</v>
      </c>
      <c r="H691" s="1030">
        <v>350</v>
      </c>
      <c r="I691" s="819">
        <f t="shared" si="71"/>
        <v>1850</v>
      </c>
      <c r="J691" s="819">
        <v>1900.0009397705971</v>
      </c>
      <c r="K691" s="819">
        <f t="shared" si="72"/>
        <v>306</v>
      </c>
      <c r="L691" s="1075" t="s">
        <v>615</v>
      </c>
      <c r="M691">
        <v>544795.71</v>
      </c>
      <c r="N691">
        <v>24515553.949999999</v>
      </c>
      <c r="O691" s="334"/>
      <c r="P691" s="334"/>
      <c r="Q691" s="334"/>
      <c r="R691" s="334"/>
      <c r="S691" s="334"/>
      <c r="T691" s="334"/>
      <c r="U691" s="334"/>
    </row>
    <row r="692" spans="1:21" s="387" customFormat="1" ht="17.100000000000001" customHeight="1" x14ac:dyDescent="0.25">
      <c r="A692" s="145">
        <v>2</v>
      </c>
      <c r="B692" s="63" t="s">
        <v>58</v>
      </c>
      <c r="C692" s="942">
        <v>237</v>
      </c>
      <c r="D692" s="976">
        <v>322.24</v>
      </c>
      <c r="E692" s="1030">
        <v>1720210</v>
      </c>
      <c r="F692" s="942">
        <f>E692*2150</f>
        <v>3698451500</v>
      </c>
      <c r="G692" s="1030">
        <f>E692*290</f>
        <v>498860900</v>
      </c>
      <c r="H692" s="1030">
        <v>2800</v>
      </c>
      <c r="I692" s="819">
        <f t="shared" si="71"/>
        <v>2150</v>
      </c>
      <c r="J692" s="819">
        <v>2099.9995749612581</v>
      </c>
      <c r="K692" s="819">
        <f t="shared" si="72"/>
        <v>290</v>
      </c>
      <c r="L692" s="1075" t="s">
        <v>41</v>
      </c>
      <c r="M692">
        <v>77091.949999999983</v>
      </c>
      <c r="N692">
        <v>628046.85000000021</v>
      </c>
      <c r="O692" s="334"/>
      <c r="P692" s="334"/>
      <c r="Q692" s="334"/>
      <c r="R692" s="334"/>
      <c r="S692" s="334"/>
      <c r="T692" s="334"/>
      <c r="U692" s="334"/>
    </row>
    <row r="693" spans="1:21" s="387" customFormat="1" ht="17.100000000000001" customHeight="1" x14ac:dyDescent="0.25">
      <c r="A693" s="145">
        <v>3</v>
      </c>
      <c r="B693" s="63" t="s">
        <v>146</v>
      </c>
      <c r="C693" s="942">
        <v>41</v>
      </c>
      <c r="D693" s="976">
        <v>41.83</v>
      </c>
      <c r="E693" s="1030">
        <v>495424</v>
      </c>
      <c r="F693" s="942">
        <f>E693*210</f>
        <v>104039040</v>
      </c>
      <c r="G693" s="1030">
        <f>E693*35</f>
        <v>17339840</v>
      </c>
      <c r="H693" s="1030">
        <v>250</v>
      </c>
      <c r="I693" s="819">
        <f t="shared" si="71"/>
        <v>210</v>
      </c>
      <c r="J693" s="819">
        <v>185.00002081757557</v>
      </c>
      <c r="K693" s="819">
        <f t="shared" si="72"/>
        <v>35</v>
      </c>
      <c r="L693" s="1075" t="s">
        <v>58</v>
      </c>
      <c r="M693">
        <v>1720210.4</v>
      </c>
      <c r="N693">
        <v>10368971.449999999</v>
      </c>
    </row>
    <row r="694" spans="1:21" s="334" customFormat="1" ht="17.100000000000001" customHeight="1" x14ac:dyDescent="0.25">
      <c r="A694" s="145">
        <v>4</v>
      </c>
      <c r="B694" s="63" t="s">
        <v>59</v>
      </c>
      <c r="C694" s="942">
        <v>3</v>
      </c>
      <c r="D694" s="943">
        <v>1801.71</v>
      </c>
      <c r="E694" s="1030">
        <v>544796</v>
      </c>
      <c r="F694" s="942">
        <f>E694*550</f>
        <v>299637800</v>
      </c>
      <c r="G694" s="1030">
        <f>E694*45</f>
        <v>24515820</v>
      </c>
      <c r="H694" s="1030">
        <v>250</v>
      </c>
      <c r="I694" s="819">
        <f t="shared" si="71"/>
        <v>550</v>
      </c>
      <c r="J694" s="819">
        <v>550.00249004507293</v>
      </c>
      <c r="K694" s="819">
        <f t="shared" si="72"/>
        <v>45</v>
      </c>
      <c r="L694" s="1075" t="s">
        <v>62</v>
      </c>
      <c r="M694">
        <v>715485.22</v>
      </c>
      <c r="N694">
        <v>17763955.299999997</v>
      </c>
    </row>
    <row r="695" spans="1:21" s="334" customFormat="1" ht="17.100000000000001" customHeight="1" x14ac:dyDescent="0.25">
      <c r="A695" s="145">
        <v>5</v>
      </c>
      <c r="B695" s="63" t="s">
        <v>54</v>
      </c>
      <c r="C695" s="942">
        <v>10</v>
      </c>
      <c r="D695" s="943">
        <v>50</v>
      </c>
      <c r="E695" s="1030">
        <v>87428.5</v>
      </c>
      <c r="F695" s="942">
        <v>18360090</v>
      </c>
      <c r="G695" s="1030">
        <v>1000291</v>
      </c>
      <c r="H695" s="1030">
        <v>50</v>
      </c>
      <c r="I695" s="819">
        <f t="shared" si="71"/>
        <v>210.00120098137336</v>
      </c>
      <c r="J695" s="819">
        <v>60</v>
      </c>
      <c r="K695" s="819">
        <f t="shared" si="72"/>
        <v>11.441246275528004</v>
      </c>
      <c r="L695" s="1075" t="s">
        <v>664</v>
      </c>
      <c r="M695">
        <v>40.119999999999997</v>
      </c>
      <c r="N695">
        <v>5817.4</v>
      </c>
    </row>
    <row r="696" spans="1:21" s="334" customFormat="1" ht="17.100000000000001" customHeight="1" x14ac:dyDescent="0.25">
      <c r="A696" s="145">
        <v>6</v>
      </c>
      <c r="B696" s="63" t="s">
        <v>41</v>
      </c>
      <c r="C696" s="942">
        <v>0</v>
      </c>
      <c r="D696" s="942">
        <v>0</v>
      </c>
      <c r="E696" s="942">
        <v>0</v>
      </c>
      <c r="F696" s="942">
        <v>0</v>
      </c>
      <c r="G696" s="942">
        <v>0</v>
      </c>
      <c r="H696" s="942">
        <v>0</v>
      </c>
      <c r="I696" s="819" t="e">
        <f t="shared" si="71"/>
        <v>#DIV/0!</v>
      </c>
      <c r="J696" s="819">
        <v>900</v>
      </c>
      <c r="K696" s="819" t="e">
        <f t="shared" si="72"/>
        <v>#DIV/0!</v>
      </c>
      <c r="L696" s="1075" t="s">
        <v>661</v>
      </c>
      <c r="M696">
        <v>495423.82000000007</v>
      </c>
      <c r="N696">
        <v>2640010.29</v>
      </c>
    </row>
    <row r="697" spans="1:21" s="334" customFormat="1" ht="17.100000000000001" customHeight="1" x14ac:dyDescent="0.25">
      <c r="A697" s="145">
        <v>7</v>
      </c>
      <c r="B697" s="63" t="s">
        <v>40</v>
      </c>
      <c r="C697" s="942">
        <v>113</v>
      </c>
      <c r="D697" s="943">
        <v>758.33</v>
      </c>
      <c r="E697" s="1030">
        <v>62299</v>
      </c>
      <c r="F697" s="942">
        <f>E697*650</f>
        <v>40494350</v>
      </c>
      <c r="G697" s="1030">
        <f>E697*90</f>
        <v>5606910</v>
      </c>
      <c r="H697" s="1030">
        <v>150</v>
      </c>
      <c r="I697" s="819">
        <v>650</v>
      </c>
      <c r="J697" s="819">
        <v>900</v>
      </c>
      <c r="K697" s="819">
        <f t="shared" si="72"/>
        <v>90</v>
      </c>
      <c r="L697" s="1075" t="s">
        <v>159</v>
      </c>
      <c r="M697">
        <v>4557.0700000000015</v>
      </c>
      <c r="N697">
        <v>106594.91</v>
      </c>
    </row>
    <row r="698" spans="1:21" s="334" customFormat="1" ht="17.100000000000001" customHeight="1" x14ac:dyDescent="0.25">
      <c r="A698" s="145">
        <v>8</v>
      </c>
      <c r="B698" s="63" t="s">
        <v>159</v>
      </c>
      <c r="C698" s="942">
        <v>0</v>
      </c>
      <c r="D698" s="943">
        <v>0</v>
      </c>
      <c r="E698" s="1030">
        <v>4557</v>
      </c>
      <c r="F698" s="942">
        <f>E698*1950</f>
        <v>8886150</v>
      </c>
      <c r="G698" s="1030">
        <f>E698*102</f>
        <v>464814</v>
      </c>
      <c r="H698" s="1030">
        <v>50</v>
      </c>
      <c r="I698" s="819">
        <f t="shared" si="71"/>
        <v>1950</v>
      </c>
      <c r="J698" s="819">
        <v>899.99576644910917</v>
      </c>
      <c r="K698" s="819">
        <f t="shared" si="72"/>
        <v>102</v>
      </c>
      <c r="L698" s="1075" t="s">
        <v>40</v>
      </c>
      <c r="M698">
        <v>62299.159999999996</v>
      </c>
      <c r="N698">
        <v>891814.84999999986</v>
      </c>
    </row>
    <row r="699" spans="1:21" s="334" customFormat="1" ht="17.100000000000001" customHeight="1" x14ac:dyDescent="0.25">
      <c r="A699" s="145"/>
      <c r="B699" s="63" t="s">
        <v>75</v>
      </c>
      <c r="C699" s="942">
        <v>0</v>
      </c>
      <c r="D699" s="942">
        <v>0</v>
      </c>
      <c r="E699" s="942"/>
      <c r="F699" s="942"/>
      <c r="G699" s="942">
        <v>6937013</v>
      </c>
      <c r="H699" s="942"/>
      <c r="I699" s="819"/>
      <c r="J699" s="819"/>
      <c r="K699" s="819"/>
    </row>
    <row r="700" spans="1:21" s="334" customFormat="1" ht="17.100000000000001" customHeight="1" x14ac:dyDescent="0.25">
      <c r="A700" s="145"/>
      <c r="B700" s="63" t="s">
        <v>49</v>
      </c>
      <c r="C700" s="942">
        <v>0</v>
      </c>
      <c r="D700" s="942">
        <v>0</v>
      </c>
      <c r="E700" s="942"/>
      <c r="F700" s="942"/>
      <c r="G700" s="942">
        <v>182746480</v>
      </c>
      <c r="H700" s="942"/>
      <c r="I700" s="819"/>
      <c r="J700" s="819"/>
      <c r="K700" s="819"/>
    </row>
    <row r="701" spans="1:21" s="334" customFormat="1" ht="17.100000000000001" customHeight="1" x14ac:dyDescent="0.25">
      <c r="A701" s="1182" t="s">
        <v>50</v>
      </c>
      <c r="B701" s="1183"/>
      <c r="C701" s="335">
        <f t="shared" ref="C701:H701" si="75">SUM(C691:C700)</f>
        <v>484</v>
      </c>
      <c r="D701" s="335">
        <f t="shared" si="75"/>
        <v>3119.07</v>
      </c>
      <c r="E701" s="335">
        <f t="shared" si="75"/>
        <v>3630199.5</v>
      </c>
      <c r="F701" s="335">
        <f t="shared" si="75"/>
        <v>5493516180</v>
      </c>
      <c r="G701" s="335">
        <f t="shared" si="75"/>
        <v>956410478</v>
      </c>
      <c r="H701" s="335">
        <f t="shared" si="75"/>
        <v>3900</v>
      </c>
      <c r="I701" s="819"/>
      <c r="J701" s="819"/>
      <c r="K701" s="819"/>
    </row>
    <row r="702" spans="1:21" s="334" customFormat="1" ht="17.100000000000001" customHeight="1" x14ac:dyDescent="0.25">
      <c r="A702" s="388"/>
      <c r="B702" s="389"/>
      <c r="C702" s="389"/>
      <c r="D702" s="390"/>
      <c r="E702" s="389"/>
      <c r="F702" s="391"/>
      <c r="G702" s="391"/>
      <c r="H702" s="392"/>
      <c r="I702" s="819"/>
      <c r="J702" s="819"/>
      <c r="K702" s="819"/>
    </row>
    <row r="703" spans="1:21" s="334" customFormat="1" ht="17.100000000000001" customHeight="1" x14ac:dyDescent="0.25">
      <c r="A703" s="388"/>
      <c r="B703" s="389"/>
      <c r="C703" s="389"/>
      <c r="D703" s="390"/>
      <c r="E703" s="389"/>
      <c r="F703" s="391"/>
      <c r="G703" s="391"/>
      <c r="H703" s="392"/>
      <c r="I703" s="819"/>
      <c r="J703" s="819"/>
      <c r="K703" s="819"/>
    </row>
    <row r="704" spans="1:21" s="334" customFormat="1" ht="17.100000000000001" customHeight="1" x14ac:dyDescent="0.25">
      <c r="A704" s="1188" t="s">
        <v>100</v>
      </c>
      <c r="B704" s="1188"/>
      <c r="C704" s="1188"/>
      <c r="D704" s="1188"/>
      <c r="E704" s="1188"/>
      <c r="F704" s="1188"/>
      <c r="G704" s="1188"/>
      <c r="H704" s="1188"/>
      <c r="I704" s="819"/>
      <c r="J704" s="819"/>
      <c r="K704" s="819"/>
    </row>
    <row r="705" spans="1:11" s="334" customFormat="1" ht="17.100000000000001" customHeight="1" x14ac:dyDescent="0.25">
      <c r="A705" s="1184" t="s">
        <v>182</v>
      </c>
      <c r="B705" s="1184" t="s">
        <v>3</v>
      </c>
      <c r="C705" s="1184" t="s">
        <v>4</v>
      </c>
      <c r="D705" s="336" t="s">
        <v>5</v>
      </c>
      <c r="E705" s="248" t="s">
        <v>6</v>
      </c>
      <c r="F705" s="338" t="s">
        <v>7</v>
      </c>
      <c r="G705" s="338" t="s">
        <v>8</v>
      </c>
      <c r="H705" s="337" t="s">
        <v>9</v>
      </c>
      <c r="I705" s="819"/>
      <c r="J705" s="819"/>
      <c r="K705" s="819"/>
    </row>
    <row r="706" spans="1:11" s="334" customFormat="1" ht="17.100000000000001" customHeight="1" x14ac:dyDescent="0.25">
      <c r="A706" s="1185"/>
      <c r="B706" s="1185"/>
      <c r="C706" s="1185"/>
      <c r="D706" s="315" t="s">
        <v>380</v>
      </c>
      <c r="E706" s="339" t="s">
        <v>79</v>
      </c>
      <c r="F706" s="340" t="s">
        <v>632</v>
      </c>
      <c r="G706" s="340" t="s">
        <v>671</v>
      </c>
      <c r="H706" s="303" t="s">
        <v>13</v>
      </c>
      <c r="I706" s="819"/>
      <c r="J706" s="819"/>
      <c r="K706" s="819"/>
    </row>
    <row r="707" spans="1:11" s="334" customFormat="1" ht="17.100000000000001" customHeight="1" x14ac:dyDescent="0.25">
      <c r="A707" s="206">
        <v>1</v>
      </c>
      <c r="B707" s="236" t="s">
        <v>62</v>
      </c>
      <c r="C707" s="942">
        <v>9</v>
      </c>
      <c r="D707" s="943">
        <v>479.63</v>
      </c>
      <c r="E707" s="1030">
        <f>5011.88+81162.63</f>
        <v>86174.510000000009</v>
      </c>
      <c r="F707" s="1030">
        <f>1754158+150150865</f>
        <v>151905023</v>
      </c>
      <c r="G707" s="1012">
        <f>726723+25972042</f>
        <v>26698765</v>
      </c>
      <c r="H707" s="1030">
        <v>80</v>
      </c>
      <c r="I707" s="819">
        <f t="shared" si="71"/>
        <v>1762.7605077185815</v>
      </c>
      <c r="J707" s="819">
        <v>1949.9999999999998</v>
      </c>
      <c r="K707" s="819">
        <f t="shared" si="72"/>
        <v>309.82206919424311</v>
      </c>
    </row>
    <row r="708" spans="1:11" s="334" customFormat="1" ht="17.100000000000001" customHeight="1" x14ac:dyDescent="0.25">
      <c r="A708" s="206">
        <v>2</v>
      </c>
      <c r="B708" s="236" t="s">
        <v>454</v>
      </c>
      <c r="C708" s="942">
        <v>0</v>
      </c>
      <c r="D708" s="942">
        <v>0</v>
      </c>
      <c r="E708" s="942"/>
      <c r="F708" s="942"/>
      <c r="G708" s="942"/>
      <c r="H708" s="942"/>
      <c r="I708" s="819" t="e">
        <f t="shared" si="71"/>
        <v>#DIV/0!</v>
      </c>
      <c r="J708" s="819" t="e">
        <v>#DIV/0!</v>
      </c>
      <c r="K708" s="819" t="e">
        <f t="shared" si="72"/>
        <v>#DIV/0!</v>
      </c>
    </row>
    <row r="709" spans="1:11" s="334" customFormat="1" ht="17.100000000000001" customHeight="1" x14ac:dyDescent="0.25">
      <c r="A709" s="206">
        <v>3</v>
      </c>
      <c r="B709" s="63" t="s">
        <v>58</v>
      </c>
      <c r="C709" s="942">
        <v>1</v>
      </c>
      <c r="D709" s="943">
        <v>1.88</v>
      </c>
      <c r="E709" s="1030"/>
      <c r="F709" s="1030"/>
      <c r="G709" s="1012"/>
      <c r="H709" s="1030"/>
      <c r="I709" s="819" t="e">
        <f t="shared" si="71"/>
        <v>#DIV/0!</v>
      </c>
      <c r="J709" s="819" t="e">
        <v>#DIV/0!</v>
      </c>
      <c r="K709" s="819" t="e">
        <f t="shared" si="72"/>
        <v>#DIV/0!</v>
      </c>
    </row>
    <row r="710" spans="1:11" s="334" customFormat="1" ht="17.100000000000001" customHeight="1" x14ac:dyDescent="0.25">
      <c r="A710" s="206">
        <v>4</v>
      </c>
      <c r="B710" s="63" t="s">
        <v>68</v>
      </c>
      <c r="C710" s="942">
        <v>3</v>
      </c>
      <c r="D710" s="943">
        <v>3</v>
      </c>
      <c r="E710" s="976"/>
      <c r="F710" s="1030"/>
      <c r="G710" s="1012"/>
      <c r="H710" s="1030"/>
      <c r="I710" s="819" t="e">
        <f t="shared" si="71"/>
        <v>#DIV/0!</v>
      </c>
      <c r="J710" s="819">
        <v>275</v>
      </c>
      <c r="K710" s="819" t="e">
        <f t="shared" si="72"/>
        <v>#DIV/0!</v>
      </c>
    </row>
    <row r="711" spans="1:11" s="334" customFormat="1" ht="17.100000000000001" customHeight="1" x14ac:dyDescent="0.25">
      <c r="A711" s="206">
        <v>5</v>
      </c>
      <c r="B711" s="63" t="s">
        <v>40</v>
      </c>
      <c r="C711" s="942">
        <v>5</v>
      </c>
      <c r="D711" s="943">
        <v>24.25</v>
      </c>
      <c r="E711" s="1030">
        <v>1360</v>
      </c>
      <c r="F711" s="1030">
        <v>783780</v>
      </c>
      <c r="G711" s="1012">
        <v>155241</v>
      </c>
      <c r="H711" s="1030">
        <v>110</v>
      </c>
      <c r="I711" s="819">
        <f t="shared" si="71"/>
        <v>576.30882352941171</v>
      </c>
      <c r="J711" s="819">
        <v>610.06995001470148</v>
      </c>
      <c r="K711" s="819">
        <f t="shared" si="72"/>
        <v>114.14779411764705</v>
      </c>
    </row>
    <row r="712" spans="1:11" s="334" customFormat="1" ht="17.100000000000001" customHeight="1" x14ac:dyDescent="0.25">
      <c r="A712" s="206">
        <v>6</v>
      </c>
      <c r="B712" s="63" t="s">
        <v>63</v>
      </c>
      <c r="C712" s="942">
        <v>175</v>
      </c>
      <c r="D712" s="943">
        <v>181.69</v>
      </c>
      <c r="E712" s="1030">
        <v>3101572</v>
      </c>
      <c r="F712" s="1030">
        <v>651330164</v>
      </c>
      <c r="G712" s="1012">
        <v>136469177</v>
      </c>
      <c r="H712" s="1030">
        <v>400</v>
      </c>
      <c r="I712" s="819">
        <f t="shared" si="71"/>
        <v>210.00001418635452</v>
      </c>
      <c r="J712" s="819">
        <v>190</v>
      </c>
      <c r="K712" s="819">
        <f t="shared" si="72"/>
        <v>44.000002901754335</v>
      </c>
    </row>
    <row r="713" spans="1:11" s="334" customFormat="1" ht="17.100000000000001" customHeight="1" x14ac:dyDescent="0.25">
      <c r="A713" s="206">
        <v>7</v>
      </c>
      <c r="B713" s="63" t="s">
        <v>59</v>
      </c>
      <c r="C713" s="942">
        <v>0</v>
      </c>
      <c r="D713" s="942">
        <v>0</v>
      </c>
      <c r="E713" s="942"/>
      <c r="F713" s="942"/>
      <c r="G713" s="942"/>
      <c r="H713" s="942"/>
      <c r="I713" s="819" t="e">
        <f t="shared" si="71"/>
        <v>#DIV/0!</v>
      </c>
      <c r="J713" s="819" t="e">
        <v>#DIV/0!</v>
      </c>
      <c r="K713" s="819" t="e">
        <f t="shared" si="72"/>
        <v>#DIV/0!</v>
      </c>
    </row>
    <row r="714" spans="1:11" s="334" customFormat="1" ht="17.100000000000001" customHeight="1" x14ac:dyDescent="0.25">
      <c r="A714" s="206">
        <v>8</v>
      </c>
      <c r="B714" s="63" t="s">
        <v>54</v>
      </c>
      <c r="C714" s="942">
        <v>0</v>
      </c>
      <c r="D714" s="943">
        <v>0</v>
      </c>
      <c r="E714" s="1030">
        <f>G714/31</f>
        <v>772647.83870967745</v>
      </c>
      <c r="F714" s="1030">
        <f>E714*210</f>
        <v>162256046.12903225</v>
      </c>
      <c r="G714" s="1012">
        <v>23952083</v>
      </c>
      <c r="H714" s="1030">
        <v>250</v>
      </c>
      <c r="I714" s="819">
        <f t="shared" si="71"/>
        <v>210</v>
      </c>
      <c r="J714" s="819">
        <v>220.00011324712327</v>
      </c>
      <c r="K714" s="819">
        <f t="shared" si="72"/>
        <v>31</v>
      </c>
    </row>
    <row r="715" spans="1:11" s="334" customFormat="1" ht="17.100000000000001" customHeight="1" x14ac:dyDescent="0.25">
      <c r="A715" s="206">
        <v>9</v>
      </c>
      <c r="B715" s="63" t="s">
        <v>206</v>
      </c>
      <c r="C715" s="942">
        <v>2</v>
      </c>
      <c r="D715" s="942">
        <v>8</v>
      </c>
      <c r="E715" s="942"/>
      <c r="F715" s="942"/>
      <c r="G715" s="942"/>
      <c r="H715" s="942"/>
      <c r="I715" s="819" t="e">
        <f t="shared" si="71"/>
        <v>#DIV/0!</v>
      </c>
      <c r="J715" s="819" t="e">
        <v>#DIV/0!</v>
      </c>
      <c r="K715" s="819" t="e">
        <f t="shared" si="72"/>
        <v>#DIV/0!</v>
      </c>
    </row>
    <row r="716" spans="1:11" s="334" customFormat="1" ht="17.100000000000001" customHeight="1" x14ac:dyDescent="0.25">
      <c r="A716" s="206">
        <v>10</v>
      </c>
      <c r="B716" s="63" t="s">
        <v>25</v>
      </c>
      <c r="C716" s="989">
        <v>3</v>
      </c>
      <c r="D716" s="976">
        <v>28.84</v>
      </c>
      <c r="E716" s="1013"/>
      <c r="F716" s="1030"/>
      <c r="G716" s="1014"/>
      <c r="H716" s="942"/>
      <c r="I716" s="819" t="e">
        <f t="shared" si="71"/>
        <v>#DIV/0!</v>
      </c>
      <c r="J716" s="819" t="e">
        <v>#DIV/0!</v>
      </c>
      <c r="K716" s="819" t="e">
        <f t="shared" si="72"/>
        <v>#DIV/0!</v>
      </c>
    </row>
    <row r="717" spans="1:11" s="334" customFormat="1" ht="17.100000000000001" customHeight="1" x14ac:dyDescent="0.25">
      <c r="A717" s="206">
        <v>11</v>
      </c>
      <c r="B717" s="63" t="s">
        <v>26</v>
      </c>
      <c r="C717" s="989">
        <v>0</v>
      </c>
      <c r="D717" s="989">
        <v>0</v>
      </c>
      <c r="E717" s="989"/>
      <c r="F717" s="989"/>
      <c r="G717" s="989"/>
      <c r="H717" s="989"/>
      <c r="I717" s="819" t="e">
        <f t="shared" ref="I717:I779" si="76">F717/E717</f>
        <v>#DIV/0!</v>
      </c>
      <c r="J717" s="819" t="e">
        <v>#DIV/0!</v>
      </c>
      <c r="K717" s="819" t="e">
        <f t="shared" si="72"/>
        <v>#DIV/0!</v>
      </c>
    </row>
    <row r="718" spans="1:11" s="334" customFormat="1" ht="17.100000000000001" customHeight="1" x14ac:dyDescent="0.25">
      <c r="A718" s="206">
        <v>12</v>
      </c>
      <c r="B718" s="63" t="s">
        <v>41</v>
      </c>
      <c r="C718" s="989">
        <v>15</v>
      </c>
      <c r="D718" s="976">
        <v>200</v>
      </c>
      <c r="E718" s="1013">
        <v>677612</v>
      </c>
      <c r="F718" s="1030">
        <v>327286789</v>
      </c>
      <c r="G718" s="994">
        <v>73637611</v>
      </c>
      <c r="H718" s="942">
        <v>150</v>
      </c>
      <c r="I718" s="819">
        <f t="shared" si="76"/>
        <v>483.00028482376348</v>
      </c>
      <c r="J718" s="819">
        <v>490</v>
      </c>
      <c r="K718" s="819">
        <f t="shared" si="72"/>
        <v>108.67223573372372</v>
      </c>
    </row>
    <row r="719" spans="1:11" s="334" customFormat="1" ht="17.100000000000001" customHeight="1" x14ac:dyDescent="0.25">
      <c r="A719" s="206">
        <v>13</v>
      </c>
      <c r="B719" s="63" t="s">
        <v>46</v>
      </c>
      <c r="C719" s="1030">
        <v>2</v>
      </c>
      <c r="D719" s="976">
        <v>10</v>
      </c>
      <c r="E719" s="1013">
        <v>0</v>
      </c>
      <c r="F719" s="1013">
        <v>0</v>
      </c>
      <c r="G719" s="1013">
        <v>0</v>
      </c>
      <c r="H719" s="1013">
        <v>0</v>
      </c>
      <c r="I719" s="819" t="e">
        <f t="shared" si="76"/>
        <v>#DIV/0!</v>
      </c>
      <c r="J719" s="819" t="e">
        <v>#DIV/0!</v>
      </c>
      <c r="K719" s="819" t="e">
        <f t="shared" si="72"/>
        <v>#DIV/0!</v>
      </c>
    </row>
    <row r="720" spans="1:11" s="334" customFormat="1" ht="17.100000000000001" customHeight="1" x14ac:dyDescent="0.25">
      <c r="A720" s="206">
        <v>14</v>
      </c>
      <c r="B720" s="63" t="s">
        <v>164</v>
      </c>
      <c r="C720" s="989">
        <v>2</v>
      </c>
      <c r="D720" s="976">
        <v>8.1</v>
      </c>
      <c r="E720" s="1013">
        <v>0</v>
      </c>
      <c r="F720" s="1013">
        <v>0</v>
      </c>
      <c r="G720" s="1013">
        <v>0</v>
      </c>
      <c r="H720" s="1013">
        <v>0</v>
      </c>
      <c r="I720" s="819" t="e">
        <f t="shared" si="76"/>
        <v>#DIV/0!</v>
      </c>
      <c r="J720" s="819">
        <v>290</v>
      </c>
      <c r="K720" s="819" t="e">
        <f t="shared" si="72"/>
        <v>#DIV/0!</v>
      </c>
    </row>
    <row r="721" spans="1:11" s="334" customFormat="1" ht="17.100000000000001" customHeight="1" x14ac:dyDescent="0.25">
      <c r="A721" s="206">
        <v>15</v>
      </c>
      <c r="B721" s="63" t="s">
        <v>609</v>
      </c>
      <c r="C721" s="989">
        <v>10</v>
      </c>
      <c r="D721" s="976">
        <v>100</v>
      </c>
      <c r="E721" s="1013">
        <v>34349</v>
      </c>
      <c r="F721" s="1013">
        <v>18548794</v>
      </c>
      <c r="G721" s="1013">
        <v>3623898</v>
      </c>
      <c r="H721" s="1013">
        <v>100</v>
      </c>
      <c r="I721" s="819">
        <f t="shared" si="76"/>
        <v>540.00972371830335</v>
      </c>
      <c r="J721" s="819">
        <v>575</v>
      </c>
      <c r="K721" s="819">
        <f t="shared" si="72"/>
        <v>105.50228536493057</v>
      </c>
    </row>
    <row r="722" spans="1:11" s="334" customFormat="1" ht="17.100000000000001" customHeight="1" x14ac:dyDescent="0.25">
      <c r="A722" s="206"/>
      <c r="B722" s="63" t="s">
        <v>75</v>
      </c>
      <c r="C722" s="942">
        <v>0</v>
      </c>
      <c r="D722" s="943">
        <v>0</v>
      </c>
      <c r="E722" s="1030"/>
      <c r="F722" s="942"/>
      <c r="G722" s="1012">
        <v>14797100</v>
      </c>
      <c r="H722" s="1030"/>
      <c r="I722" s="819"/>
      <c r="J722" s="819"/>
      <c r="K722" s="819"/>
    </row>
    <row r="723" spans="1:11" s="334" customFormat="1" ht="17.100000000000001" customHeight="1" x14ac:dyDescent="0.25">
      <c r="A723" s="206"/>
      <c r="B723" s="63" t="s">
        <v>49</v>
      </c>
      <c r="C723" s="942">
        <v>0</v>
      </c>
      <c r="D723" s="943">
        <v>0</v>
      </c>
      <c r="E723" s="1030"/>
      <c r="F723" s="942"/>
      <c r="G723" s="977">
        <v>137708573</v>
      </c>
      <c r="H723" s="1030"/>
      <c r="I723" s="819"/>
      <c r="J723" s="819"/>
      <c r="K723" s="819"/>
    </row>
    <row r="724" spans="1:11" s="334" customFormat="1" ht="17.100000000000001" customHeight="1" x14ac:dyDescent="0.25">
      <c r="A724" s="1182" t="s">
        <v>50</v>
      </c>
      <c r="B724" s="1183"/>
      <c r="C724" s="335">
        <f>SUM(C707:C723)</f>
        <v>227</v>
      </c>
      <c r="D724" s="335">
        <f t="shared" ref="D724:H724" si="77">SUM(D707:D723)</f>
        <v>1045.3900000000001</v>
      </c>
      <c r="E724" s="335">
        <f t="shared" si="77"/>
        <v>4673715.3487096773</v>
      </c>
      <c r="F724" s="371">
        <f>SUM(F707:F723)</f>
        <v>1312110596.1290321</v>
      </c>
      <c r="G724" s="335">
        <f>SUM(G707:G723)</f>
        <v>417042448</v>
      </c>
      <c r="H724" s="335">
        <f t="shared" si="77"/>
        <v>1090</v>
      </c>
      <c r="I724" s="819"/>
      <c r="J724" s="819"/>
      <c r="K724" s="819"/>
    </row>
    <row r="725" spans="1:11" s="334" customFormat="1" ht="17.100000000000001" customHeight="1" x14ac:dyDescent="0.25">
      <c r="A725" s="343"/>
      <c r="B725" s="349"/>
      <c r="C725" s="349"/>
      <c r="D725" s="350"/>
      <c r="E725" s="350"/>
      <c r="F725" s="351"/>
      <c r="G725" s="351"/>
      <c r="H725" s="347"/>
      <c r="I725" s="819"/>
      <c r="J725" s="819"/>
      <c r="K725" s="819"/>
    </row>
    <row r="726" spans="1:11" s="334" customFormat="1" ht="17.100000000000001" customHeight="1" x14ac:dyDescent="0.25">
      <c r="A726" s="343"/>
      <c r="B726" s="349"/>
      <c r="C726" s="349"/>
      <c r="D726" s="350"/>
      <c r="E726" s="350"/>
      <c r="F726" s="351"/>
      <c r="G726" s="351"/>
      <c r="H726" s="347"/>
      <c r="I726" s="819"/>
      <c r="J726" s="819"/>
      <c r="K726" s="819"/>
    </row>
    <row r="727" spans="1:11" s="334" customFormat="1" ht="17.100000000000001" customHeight="1" x14ac:dyDescent="0.25">
      <c r="A727" s="1188" t="s">
        <v>91</v>
      </c>
      <c r="B727" s="1188"/>
      <c r="C727" s="1188"/>
      <c r="D727" s="1188"/>
      <c r="E727" s="1188"/>
      <c r="F727" s="1188"/>
      <c r="G727" s="1188"/>
      <c r="H727" s="1188"/>
      <c r="I727" s="819"/>
      <c r="J727" s="819"/>
      <c r="K727" s="819"/>
    </row>
    <row r="728" spans="1:11" s="334" customFormat="1" ht="17.100000000000001" customHeight="1" x14ac:dyDescent="0.25">
      <c r="A728" s="1184" t="s">
        <v>182</v>
      </c>
      <c r="B728" s="1184" t="s">
        <v>3</v>
      </c>
      <c r="C728" s="1184" t="s">
        <v>4</v>
      </c>
      <c r="D728" s="336" t="s">
        <v>5</v>
      </c>
      <c r="E728" s="337" t="s">
        <v>6</v>
      </c>
      <c r="F728" s="338" t="s">
        <v>7</v>
      </c>
      <c r="G728" s="338" t="s">
        <v>8</v>
      </c>
      <c r="H728" s="337" t="s">
        <v>9</v>
      </c>
      <c r="I728" s="819"/>
      <c r="J728" s="819"/>
      <c r="K728" s="819"/>
    </row>
    <row r="729" spans="1:11" s="334" customFormat="1" ht="17.100000000000001" customHeight="1" x14ac:dyDescent="0.25">
      <c r="A729" s="1185"/>
      <c r="B729" s="1185"/>
      <c r="C729" s="1185"/>
      <c r="D729" s="302" t="s">
        <v>380</v>
      </c>
      <c r="E729" s="339" t="s">
        <v>79</v>
      </c>
      <c r="F729" s="340" t="s">
        <v>632</v>
      </c>
      <c r="G729" s="340" t="s">
        <v>671</v>
      </c>
      <c r="H729" s="303" t="s">
        <v>13</v>
      </c>
      <c r="I729" s="819"/>
      <c r="J729" s="819"/>
      <c r="K729" s="819"/>
    </row>
    <row r="730" spans="1:11" s="334" customFormat="1" ht="17.100000000000001" customHeight="1" x14ac:dyDescent="0.25">
      <c r="A730" s="206">
        <v>1</v>
      </c>
      <c r="B730" s="63" t="s">
        <v>62</v>
      </c>
      <c r="C730" s="974">
        <v>80</v>
      </c>
      <c r="D730" s="974">
        <v>82.05</v>
      </c>
      <c r="E730" s="974">
        <v>737699</v>
      </c>
      <c r="F730" s="974">
        <v>1364744926</v>
      </c>
      <c r="G730" s="1031">
        <v>105644461</v>
      </c>
      <c r="H730" s="974">
        <v>1350</v>
      </c>
      <c r="I730" s="1049">
        <f t="shared" si="76"/>
        <v>1850.00240748598</v>
      </c>
      <c r="J730" s="1049">
        <v>1050</v>
      </c>
      <c r="K730" s="819">
        <f t="shared" ref="K730:K792" si="78">G730/E730</f>
        <v>143.20808486930306</v>
      </c>
    </row>
    <row r="731" spans="1:11" s="334" customFormat="1" ht="17.100000000000001" customHeight="1" x14ac:dyDescent="0.25">
      <c r="A731" s="143">
        <f>+A730+1</f>
        <v>2</v>
      </c>
      <c r="B731" s="63" t="s">
        <v>58</v>
      </c>
      <c r="C731" s="974">
        <v>186</v>
      </c>
      <c r="D731" s="974">
        <v>343.71</v>
      </c>
      <c r="E731" s="974">
        <v>786468</v>
      </c>
      <c r="F731" s="974">
        <v>1651584165</v>
      </c>
      <c r="G731" s="1031">
        <v>306961889</v>
      </c>
      <c r="H731" s="974">
        <v>1580</v>
      </c>
      <c r="I731" s="1049">
        <f t="shared" si="76"/>
        <v>2100.001735607806</v>
      </c>
      <c r="J731" s="1049">
        <v>1010.0000002170462</v>
      </c>
      <c r="K731" s="819">
        <f t="shared" si="78"/>
        <v>390.30435949078668</v>
      </c>
    </row>
    <row r="732" spans="1:11" s="334" customFormat="1" ht="17.100000000000001" customHeight="1" x14ac:dyDescent="0.25">
      <c r="A732" s="143">
        <f>+A731+1</f>
        <v>3</v>
      </c>
      <c r="B732" s="63" t="s">
        <v>60</v>
      </c>
      <c r="C732" s="974">
        <v>5</v>
      </c>
      <c r="D732" s="974">
        <v>8.2200000000000006</v>
      </c>
      <c r="E732" s="974">
        <v>6320</v>
      </c>
      <c r="F732" s="974">
        <v>2212343</v>
      </c>
      <c r="G732" s="1031">
        <v>644740</v>
      </c>
      <c r="H732" s="974">
        <v>220</v>
      </c>
      <c r="I732" s="819">
        <f t="shared" si="76"/>
        <v>350.05427215189872</v>
      </c>
      <c r="J732" s="819">
        <v>349.9999638707871</v>
      </c>
      <c r="K732" s="819">
        <f t="shared" si="78"/>
        <v>102.01582278481013</v>
      </c>
    </row>
    <row r="733" spans="1:11" s="334" customFormat="1" ht="17.100000000000001" customHeight="1" x14ac:dyDescent="0.25">
      <c r="A733" s="143">
        <f>+A732+1</f>
        <v>4</v>
      </c>
      <c r="B733" s="63" t="s">
        <v>460</v>
      </c>
      <c r="C733" s="974">
        <v>25</v>
      </c>
      <c r="D733" s="974">
        <v>23.82</v>
      </c>
      <c r="E733" s="974">
        <v>41212</v>
      </c>
      <c r="F733" s="974">
        <v>45333251</v>
      </c>
      <c r="G733" s="1031">
        <v>15588610</v>
      </c>
      <c r="H733" s="974">
        <v>300</v>
      </c>
      <c r="I733" s="1049">
        <v>1100</v>
      </c>
      <c r="J733" s="1049">
        <v>130.00000234763937</v>
      </c>
      <c r="K733" s="819">
        <f t="shared" si="78"/>
        <v>378.25414927690963</v>
      </c>
    </row>
    <row r="734" spans="1:11" s="334" customFormat="1" ht="17.100000000000001" customHeight="1" x14ac:dyDescent="0.25">
      <c r="A734" s="143">
        <f>+A733+1</f>
        <v>5</v>
      </c>
      <c r="B734" s="63" t="s">
        <v>189</v>
      </c>
      <c r="C734" s="974">
        <v>119</v>
      </c>
      <c r="D734" s="974">
        <v>130.25</v>
      </c>
      <c r="E734" s="974">
        <v>1235252</v>
      </c>
      <c r="F734" s="974">
        <v>247050510</v>
      </c>
      <c r="G734" s="1031">
        <v>40788141</v>
      </c>
      <c r="H734" s="974">
        <v>762</v>
      </c>
      <c r="I734" s="819">
        <f t="shared" si="76"/>
        <v>200.00008905065525</v>
      </c>
      <c r="J734" s="819">
        <v>159.99999934068671</v>
      </c>
      <c r="K734" s="819">
        <f t="shared" si="78"/>
        <v>33.020097113787308</v>
      </c>
    </row>
    <row r="735" spans="1:11" s="334" customFormat="1" ht="17.100000000000001" customHeight="1" x14ac:dyDescent="0.25">
      <c r="A735" s="143">
        <v>6</v>
      </c>
      <c r="B735" s="63" t="s">
        <v>59</v>
      </c>
      <c r="C735" s="974">
        <v>1</v>
      </c>
      <c r="D735" s="974">
        <v>2526.88</v>
      </c>
      <c r="E735" s="974">
        <v>674152</v>
      </c>
      <c r="F735" s="974">
        <v>303368279</v>
      </c>
      <c r="G735" s="1031">
        <v>107043126</v>
      </c>
      <c r="H735" s="974">
        <v>550</v>
      </c>
      <c r="I735" s="819">
        <v>250</v>
      </c>
      <c r="J735" s="819">
        <v>219.99998091195064</v>
      </c>
      <c r="K735" s="819">
        <f t="shared" si="78"/>
        <v>158.78188598416975</v>
      </c>
    </row>
    <row r="736" spans="1:11" s="334" customFormat="1" ht="17.100000000000001" customHeight="1" x14ac:dyDescent="0.25">
      <c r="A736" s="143">
        <v>7</v>
      </c>
      <c r="B736" s="276" t="s">
        <v>25</v>
      </c>
      <c r="C736" s="974">
        <v>6</v>
      </c>
      <c r="D736" s="974">
        <v>196.45</v>
      </c>
      <c r="E736" s="974">
        <v>8086</v>
      </c>
      <c r="F736" s="974">
        <v>6873092</v>
      </c>
      <c r="G736" s="1031">
        <v>2614327</v>
      </c>
      <c r="H736" s="974">
        <v>150</v>
      </c>
      <c r="I736" s="819">
        <f t="shared" si="76"/>
        <v>849.99901063566654</v>
      </c>
      <c r="J736" s="819">
        <v>929.9984560753436</v>
      </c>
      <c r="K736" s="819">
        <f t="shared" si="78"/>
        <v>323.31523621073461</v>
      </c>
    </row>
    <row r="737" spans="1:11" s="334" customFormat="1" ht="17.100000000000001" customHeight="1" x14ac:dyDescent="0.25">
      <c r="A737" s="143">
        <v>8</v>
      </c>
      <c r="B737" s="276" t="s">
        <v>170</v>
      </c>
      <c r="C737" s="974">
        <v>19</v>
      </c>
      <c r="D737" s="974">
        <v>80.180000000000007</v>
      </c>
      <c r="E737" s="974">
        <v>203910</v>
      </c>
      <c r="F737" s="974">
        <v>132541858</v>
      </c>
      <c r="G737" s="1031">
        <v>11648349</v>
      </c>
      <c r="H737" s="974">
        <v>150</v>
      </c>
      <c r="I737" s="1049">
        <f t="shared" si="76"/>
        <v>650.001755676524</v>
      </c>
      <c r="J737" s="1049">
        <v>260.00001426128676</v>
      </c>
      <c r="K737" s="819">
        <f t="shared" si="78"/>
        <v>57.124952184787404</v>
      </c>
    </row>
    <row r="738" spans="1:11" s="334" customFormat="1" ht="15.75" customHeight="1" x14ac:dyDescent="0.25">
      <c r="A738" s="143">
        <v>9</v>
      </c>
      <c r="B738" s="276" t="s">
        <v>65</v>
      </c>
      <c r="C738" s="974">
        <v>0</v>
      </c>
      <c r="D738" s="974">
        <v>0</v>
      </c>
      <c r="E738" s="974">
        <v>13478</v>
      </c>
      <c r="F738" s="974">
        <v>404340</v>
      </c>
      <c r="G738" s="974">
        <v>338532</v>
      </c>
      <c r="H738" s="974">
        <v>10</v>
      </c>
      <c r="I738" s="819">
        <f t="shared" si="76"/>
        <v>30</v>
      </c>
      <c r="J738" s="819">
        <v>29.999992498125096</v>
      </c>
      <c r="K738" s="819">
        <f t="shared" si="78"/>
        <v>25.117376465350944</v>
      </c>
    </row>
    <row r="739" spans="1:11" s="334" customFormat="1" ht="15.75" customHeight="1" x14ac:dyDescent="0.25">
      <c r="A739" s="143">
        <v>10</v>
      </c>
      <c r="B739" s="276" t="s">
        <v>194</v>
      </c>
      <c r="C739" s="974">
        <v>0</v>
      </c>
      <c r="D739" s="974">
        <v>0</v>
      </c>
      <c r="E739" s="974">
        <v>16314</v>
      </c>
      <c r="F739" s="974">
        <v>2936678</v>
      </c>
      <c r="G739" s="1031">
        <v>407872</v>
      </c>
      <c r="H739" s="974">
        <v>10</v>
      </c>
      <c r="I739" s="819">
        <f t="shared" si="76"/>
        <v>180.00968493318621</v>
      </c>
      <c r="J739" s="819"/>
      <c r="K739" s="819">
        <f t="shared" si="78"/>
        <v>25.001348535000613</v>
      </c>
    </row>
    <row r="740" spans="1:11" s="334" customFormat="1" ht="17.100000000000001" customHeight="1" x14ac:dyDescent="0.25">
      <c r="A740" s="143"/>
      <c r="B740" s="276" t="s">
        <v>75</v>
      </c>
      <c r="C740" s="942">
        <v>0</v>
      </c>
      <c r="D740" s="942">
        <v>0</v>
      </c>
      <c r="E740" s="942"/>
      <c r="F740" s="942"/>
      <c r="G740" s="942">
        <v>27228078</v>
      </c>
      <c r="H740" s="942"/>
      <c r="I740" s="819"/>
      <c r="J740" s="819"/>
      <c r="K740" s="819"/>
    </row>
    <row r="741" spans="1:11" s="334" customFormat="1" ht="17.100000000000001" customHeight="1" x14ac:dyDescent="0.25">
      <c r="A741" s="143"/>
      <c r="B741" s="63" t="s">
        <v>49</v>
      </c>
      <c r="C741" s="942">
        <v>0</v>
      </c>
      <c r="D741" s="942">
        <v>0</v>
      </c>
      <c r="E741" s="942"/>
      <c r="F741" s="942"/>
      <c r="G741" s="942">
        <v>9122510</v>
      </c>
      <c r="H741" s="942"/>
      <c r="I741" s="819"/>
      <c r="J741" s="819"/>
      <c r="K741" s="819"/>
    </row>
    <row r="742" spans="1:11" s="334" customFormat="1" ht="17.100000000000001" customHeight="1" x14ac:dyDescent="0.25">
      <c r="A742" s="1182" t="s">
        <v>50</v>
      </c>
      <c r="B742" s="1183"/>
      <c r="C742" s="335">
        <f>SUM(C730:C741)</f>
        <v>441</v>
      </c>
      <c r="D742" s="335">
        <f t="shared" ref="D742:H742" si="79">SUM(D730:D741)</f>
        <v>3391.56</v>
      </c>
      <c r="E742" s="335">
        <f>SUM(E730:E741)</f>
        <v>3722891</v>
      </c>
      <c r="F742" s="335">
        <f>SUM(F730:F741)</f>
        <v>3757049442</v>
      </c>
      <c r="G742" s="371">
        <f>SUM(G730:G741)</f>
        <v>628030635</v>
      </c>
      <c r="H742" s="335">
        <f t="shared" si="79"/>
        <v>5082</v>
      </c>
      <c r="I742" s="819"/>
      <c r="J742" s="819"/>
      <c r="K742" s="819"/>
    </row>
    <row r="743" spans="1:11" s="334" customFormat="1" ht="17.100000000000001" customHeight="1" x14ac:dyDescent="0.25">
      <c r="A743" s="353"/>
      <c r="B743" s="354"/>
      <c r="C743" s="354"/>
      <c r="D743" s="355"/>
      <c r="E743" s="355"/>
      <c r="F743" s="356"/>
      <c r="G743" s="356"/>
      <c r="H743" s="357"/>
      <c r="I743" s="819"/>
      <c r="J743" s="819"/>
      <c r="K743" s="819"/>
    </row>
    <row r="744" spans="1:11" s="387" customFormat="1" ht="17.100000000000001" customHeight="1" x14ac:dyDescent="0.25">
      <c r="A744" s="1189" t="s">
        <v>139</v>
      </c>
      <c r="B744" s="1189"/>
      <c r="C744" s="1189"/>
      <c r="D744" s="1189"/>
      <c r="E744" s="1189"/>
      <c r="F744" s="1189"/>
      <c r="G744" s="1189"/>
      <c r="H744" s="1189"/>
      <c r="I744" s="828"/>
      <c r="J744" s="819"/>
      <c r="K744" s="828"/>
    </row>
    <row r="745" spans="1:11" s="334" customFormat="1" ht="17.100000000000001" customHeight="1" x14ac:dyDescent="0.25">
      <c r="A745" s="1184" t="s">
        <v>182</v>
      </c>
      <c r="B745" s="1184" t="s">
        <v>3</v>
      </c>
      <c r="C745" s="1184" t="s">
        <v>4</v>
      </c>
      <c r="D745" s="336" t="s">
        <v>5</v>
      </c>
      <c r="E745" s="337" t="s">
        <v>6</v>
      </c>
      <c r="F745" s="338" t="s">
        <v>7</v>
      </c>
      <c r="G745" s="338" t="s">
        <v>8</v>
      </c>
      <c r="H745" s="337" t="s">
        <v>9</v>
      </c>
      <c r="I745" s="819"/>
      <c r="J745" s="819"/>
      <c r="K745" s="819"/>
    </row>
    <row r="746" spans="1:11" s="334" customFormat="1" ht="17.100000000000001" customHeight="1" x14ac:dyDescent="0.25">
      <c r="A746" s="1185"/>
      <c r="B746" s="1185"/>
      <c r="C746" s="1185"/>
      <c r="D746" s="302" t="s">
        <v>380</v>
      </c>
      <c r="E746" s="339" t="s">
        <v>79</v>
      </c>
      <c r="F746" s="340" t="s">
        <v>632</v>
      </c>
      <c r="G746" s="340" t="s">
        <v>671</v>
      </c>
      <c r="H746" s="303" t="s">
        <v>13</v>
      </c>
      <c r="I746" s="819"/>
      <c r="J746" s="819"/>
      <c r="K746" s="819"/>
    </row>
    <row r="747" spans="1:11" s="334" customFormat="1" ht="17.100000000000001" customHeight="1" x14ac:dyDescent="0.25">
      <c r="A747" s="206">
        <v>1</v>
      </c>
      <c r="B747" s="63" t="s">
        <v>60</v>
      </c>
      <c r="C747" s="942">
        <v>46</v>
      </c>
      <c r="D747" s="942">
        <v>2042.15</v>
      </c>
      <c r="E747" s="1030">
        <v>1799922</v>
      </c>
      <c r="F747" s="1030">
        <v>647971952</v>
      </c>
      <c r="G747" s="1030">
        <v>216822985</v>
      </c>
      <c r="H747" s="942">
        <v>750</v>
      </c>
      <c r="I747" s="819">
        <f t="shared" si="76"/>
        <v>360.00001777854817</v>
      </c>
      <c r="J747" s="819">
        <v>350</v>
      </c>
      <c r="K747" s="819">
        <f t="shared" si="78"/>
        <v>120.46243392769242</v>
      </c>
    </row>
    <row r="748" spans="1:11" s="334" customFormat="1" ht="17.100000000000001" customHeight="1" x14ac:dyDescent="0.25">
      <c r="A748" s="143">
        <v>2</v>
      </c>
      <c r="B748" s="63" t="s">
        <v>62</v>
      </c>
      <c r="C748" s="942">
        <v>1</v>
      </c>
      <c r="D748" s="942">
        <v>1</v>
      </c>
      <c r="E748" s="1030">
        <v>0</v>
      </c>
      <c r="F748" s="1030">
        <v>0</v>
      </c>
      <c r="G748" s="1030">
        <v>0</v>
      </c>
      <c r="H748" s="942">
        <v>0</v>
      </c>
      <c r="I748" s="819" t="e">
        <f t="shared" si="76"/>
        <v>#DIV/0!</v>
      </c>
      <c r="J748" s="819">
        <v>1800.000000131824</v>
      </c>
      <c r="K748" s="819" t="e">
        <f t="shared" si="78"/>
        <v>#DIV/0!</v>
      </c>
    </row>
    <row r="749" spans="1:11" s="334" customFormat="1" ht="17.100000000000001" customHeight="1" x14ac:dyDescent="0.25">
      <c r="A749" s="143">
        <v>3</v>
      </c>
      <c r="B749" s="63" t="s">
        <v>69</v>
      </c>
      <c r="C749" s="942">
        <v>7</v>
      </c>
      <c r="D749" s="942">
        <v>12.24</v>
      </c>
      <c r="E749" s="1030">
        <v>49040</v>
      </c>
      <c r="F749" s="1030">
        <v>6865480</v>
      </c>
      <c r="G749" s="1030">
        <v>2242200</v>
      </c>
      <c r="H749" s="942">
        <v>30</v>
      </c>
      <c r="I749" s="819">
        <f t="shared" si="76"/>
        <v>139.99755301794454</v>
      </c>
      <c r="J749" s="819">
        <v>130</v>
      </c>
      <c r="K749" s="819">
        <f t="shared" si="78"/>
        <v>45.721859706362153</v>
      </c>
    </row>
    <row r="750" spans="1:11" s="334" customFormat="1" ht="17.100000000000001" customHeight="1" x14ac:dyDescent="0.25">
      <c r="A750" s="143">
        <v>4</v>
      </c>
      <c r="B750" s="63" t="s">
        <v>58</v>
      </c>
      <c r="C750" s="942">
        <v>277</v>
      </c>
      <c r="D750" s="942">
        <v>605.97</v>
      </c>
      <c r="E750" s="1030">
        <v>1554441</v>
      </c>
      <c r="F750" s="1030">
        <v>3342049440</v>
      </c>
      <c r="G750" s="1030">
        <v>452605574</v>
      </c>
      <c r="H750" s="942">
        <v>830</v>
      </c>
      <c r="I750" s="819">
        <f t="shared" si="76"/>
        <v>2150.0008298803236</v>
      </c>
      <c r="J750" s="819">
        <v>2100</v>
      </c>
      <c r="K750" s="819">
        <f t="shared" si="78"/>
        <v>291.16934898140232</v>
      </c>
    </row>
    <row r="751" spans="1:11" s="334" customFormat="1" ht="17.100000000000001" customHeight="1" x14ac:dyDescent="0.25">
      <c r="A751" s="143">
        <v>5</v>
      </c>
      <c r="B751" s="63" t="s">
        <v>63</v>
      </c>
      <c r="C751" s="942">
        <v>202</v>
      </c>
      <c r="D751" s="942">
        <v>222.74</v>
      </c>
      <c r="E751" s="942">
        <v>2098402</v>
      </c>
      <c r="F751" s="942">
        <v>440664525</v>
      </c>
      <c r="G751" s="942">
        <v>62226532</v>
      </c>
      <c r="H751" s="942">
        <v>2200</v>
      </c>
      <c r="I751" s="819">
        <f t="shared" si="76"/>
        <v>210.00005003807658</v>
      </c>
      <c r="J751" s="819">
        <v>180</v>
      </c>
      <c r="K751" s="819">
        <f t="shared" si="78"/>
        <v>29.65424737490719</v>
      </c>
    </row>
    <row r="752" spans="1:11" s="334" customFormat="1" ht="17.100000000000001" customHeight="1" x14ac:dyDescent="0.25">
      <c r="A752" s="143">
        <v>6</v>
      </c>
      <c r="B752" s="63" t="s">
        <v>59</v>
      </c>
      <c r="C752" s="942">
        <v>5</v>
      </c>
      <c r="D752" s="942">
        <v>19484</v>
      </c>
      <c r="E752" s="1030">
        <v>1278423</v>
      </c>
      <c r="F752" s="1030">
        <v>703133029</v>
      </c>
      <c r="G752" s="1030">
        <v>94893323</v>
      </c>
      <c r="H752" s="942">
        <v>150</v>
      </c>
      <c r="I752" s="819">
        <v>280</v>
      </c>
      <c r="J752" s="819">
        <v>280</v>
      </c>
      <c r="K752" s="819">
        <f t="shared" si="78"/>
        <v>74.226858402891693</v>
      </c>
    </row>
    <row r="753" spans="1:11" s="334" customFormat="1" ht="17.100000000000001" customHeight="1" x14ac:dyDescent="0.25">
      <c r="A753" s="143">
        <v>7</v>
      </c>
      <c r="B753" s="63" t="s">
        <v>67</v>
      </c>
      <c r="C753" s="942">
        <v>0</v>
      </c>
      <c r="D753" s="942">
        <v>0</v>
      </c>
      <c r="E753" s="942"/>
      <c r="F753" s="942"/>
      <c r="G753" s="942"/>
      <c r="H753" s="942"/>
      <c r="I753" s="819" t="e">
        <f t="shared" si="76"/>
        <v>#DIV/0!</v>
      </c>
      <c r="J753" s="819" t="e">
        <v>#DIV/0!</v>
      </c>
      <c r="K753" s="819" t="e">
        <f t="shared" si="78"/>
        <v>#DIV/0!</v>
      </c>
    </row>
    <row r="754" spans="1:11" s="334" customFormat="1" ht="17.100000000000001" customHeight="1" x14ac:dyDescent="0.25">
      <c r="A754" s="206">
        <v>8</v>
      </c>
      <c r="B754" s="273" t="s">
        <v>26</v>
      </c>
      <c r="C754" s="942">
        <v>39</v>
      </c>
      <c r="D754" s="942">
        <v>750.66</v>
      </c>
      <c r="E754" s="1030">
        <v>757459</v>
      </c>
      <c r="F754" s="1030">
        <v>340856730</v>
      </c>
      <c r="G754" s="1030">
        <v>36232216</v>
      </c>
      <c r="H754" s="942">
        <v>180</v>
      </c>
      <c r="I754" s="819">
        <f t="shared" si="76"/>
        <v>450.00023763662455</v>
      </c>
      <c r="J754" s="819">
        <v>438.00000007348109</v>
      </c>
      <c r="K754" s="819">
        <f t="shared" si="78"/>
        <v>47.833897280248834</v>
      </c>
    </row>
    <row r="755" spans="1:11" s="334" customFormat="1" ht="17.100000000000001" customHeight="1" x14ac:dyDescent="0.25">
      <c r="A755" s="143">
        <v>9</v>
      </c>
      <c r="B755" s="274" t="s">
        <v>170</v>
      </c>
      <c r="C755" s="942">
        <v>15</v>
      </c>
      <c r="D755" s="942">
        <v>125.8</v>
      </c>
      <c r="E755" s="1030">
        <v>123415</v>
      </c>
      <c r="F755" s="1030">
        <v>55536840</v>
      </c>
      <c r="G755" s="1030">
        <v>28920270</v>
      </c>
      <c r="H755" s="942">
        <v>60</v>
      </c>
      <c r="I755" s="819">
        <f t="shared" si="76"/>
        <v>450.00072924685009</v>
      </c>
      <c r="J755" s="819">
        <v>550</v>
      </c>
      <c r="K755" s="819">
        <f t="shared" si="78"/>
        <v>234.33350889276019</v>
      </c>
    </row>
    <row r="756" spans="1:11" s="334" customFormat="1" ht="17.100000000000001" customHeight="1" x14ac:dyDescent="0.25">
      <c r="A756" s="143">
        <v>10</v>
      </c>
      <c r="B756" s="274" t="s">
        <v>65</v>
      </c>
      <c r="C756" s="942">
        <v>0</v>
      </c>
      <c r="D756" s="942">
        <v>0</v>
      </c>
      <c r="E756" s="942">
        <v>3540398</v>
      </c>
      <c r="F756" s="942">
        <v>99131125</v>
      </c>
      <c r="G756" s="942">
        <v>5289510</v>
      </c>
      <c r="H756" s="942">
        <v>250</v>
      </c>
      <c r="I756" s="819">
        <f t="shared" si="76"/>
        <v>27.999994633371728</v>
      </c>
      <c r="J756" s="819">
        <v>250</v>
      </c>
      <c r="K756" s="819">
        <f t="shared" si="78"/>
        <v>1.4940438899807309</v>
      </c>
    </row>
    <row r="757" spans="1:11" s="334" customFormat="1" ht="17.100000000000001" customHeight="1" x14ac:dyDescent="0.25">
      <c r="A757" s="143">
        <v>11</v>
      </c>
      <c r="B757" s="274" t="s">
        <v>194</v>
      </c>
      <c r="C757" s="942">
        <v>0</v>
      </c>
      <c r="D757" s="942">
        <v>0</v>
      </c>
      <c r="E757" s="942"/>
      <c r="F757" s="942"/>
      <c r="G757" s="942"/>
      <c r="H757" s="942"/>
      <c r="I757" s="819" t="e">
        <f t="shared" si="76"/>
        <v>#DIV/0!</v>
      </c>
      <c r="J757" s="819" t="e">
        <v>#DIV/0!</v>
      </c>
      <c r="K757" s="819" t="e">
        <f t="shared" si="78"/>
        <v>#DIV/0!</v>
      </c>
    </row>
    <row r="758" spans="1:11" s="334" customFormat="1" ht="17.100000000000001" customHeight="1" x14ac:dyDescent="0.25">
      <c r="A758" s="143">
        <v>12</v>
      </c>
      <c r="B758" s="274" t="s">
        <v>31</v>
      </c>
      <c r="C758" s="942">
        <v>0</v>
      </c>
      <c r="D758" s="942">
        <v>0</v>
      </c>
      <c r="E758" s="942">
        <v>35368</v>
      </c>
      <c r="F758" s="942">
        <v>26526000</v>
      </c>
      <c r="G758" s="942">
        <v>9969001</v>
      </c>
      <c r="H758" s="942">
        <v>150</v>
      </c>
      <c r="I758" s="819">
        <f t="shared" si="76"/>
        <v>750</v>
      </c>
      <c r="J758" s="819">
        <v>770</v>
      </c>
      <c r="K758" s="819">
        <f t="shared" si="78"/>
        <v>281.86499095227322</v>
      </c>
    </row>
    <row r="759" spans="1:11" s="334" customFormat="1" ht="17.100000000000001" customHeight="1" x14ac:dyDescent="0.25">
      <c r="A759" s="143"/>
      <c r="B759" s="63" t="s">
        <v>75</v>
      </c>
      <c r="C759" s="942">
        <v>0</v>
      </c>
      <c r="D759" s="942">
        <v>0</v>
      </c>
      <c r="E759" s="942"/>
      <c r="F759" s="942"/>
      <c r="G759" s="1030">
        <v>18725636</v>
      </c>
      <c r="H759" s="1030"/>
      <c r="I759" s="819"/>
      <c r="J759" s="819"/>
      <c r="K759" s="819"/>
    </row>
    <row r="760" spans="1:11" s="334" customFormat="1" ht="17.100000000000001" customHeight="1" x14ac:dyDescent="0.25">
      <c r="A760" s="143"/>
      <c r="B760" s="63" t="s">
        <v>49</v>
      </c>
      <c r="C760" s="942">
        <v>0</v>
      </c>
      <c r="D760" s="942">
        <v>0</v>
      </c>
      <c r="E760" s="942"/>
      <c r="F760" s="942"/>
      <c r="G760" s="1030">
        <v>477721172</v>
      </c>
      <c r="H760" s="1030"/>
      <c r="I760" s="819"/>
      <c r="J760" s="819"/>
      <c r="K760" s="819"/>
    </row>
    <row r="761" spans="1:11" s="334" customFormat="1" ht="17.100000000000001" customHeight="1" x14ac:dyDescent="0.25">
      <c r="A761" s="1182" t="s">
        <v>50</v>
      </c>
      <c r="B761" s="1183"/>
      <c r="C761" s="335">
        <f>SUM(C747:C760)</f>
        <v>592</v>
      </c>
      <c r="D761" s="335">
        <f t="shared" ref="D761:H761" si="80">SUM(D747:D760)</f>
        <v>23244.559999999998</v>
      </c>
      <c r="E761" s="335">
        <f t="shared" si="80"/>
        <v>11236868</v>
      </c>
      <c r="F761" s="371">
        <f>SUM(F747:F760)</f>
        <v>5662735121</v>
      </c>
      <c r="G761" s="371">
        <f>SUM(G747:G760)</f>
        <v>1405648419</v>
      </c>
      <c r="H761" s="335">
        <f t="shared" si="80"/>
        <v>4600</v>
      </c>
      <c r="I761" s="819"/>
      <c r="J761" s="819"/>
      <c r="K761" s="819"/>
    </row>
    <row r="762" spans="1:11" s="334" customFormat="1" ht="17.100000000000001" customHeight="1" x14ac:dyDescent="0.25">
      <c r="A762" s="343"/>
      <c r="B762" s="349"/>
      <c r="C762" s="349"/>
      <c r="D762" s="350"/>
      <c r="E762" s="350"/>
      <c r="F762" s="351"/>
      <c r="G762" s="351"/>
      <c r="H762" s="347"/>
      <c r="I762" s="819"/>
      <c r="J762" s="819"/>
      <c r="K762" s="819"/>
    </row>
    <row r="763" spans="1:11" s="334" customFormat="1" ht="17.100000000000001" customHeight="1" x14ac:dyDescent="0.25">
      <c r="A763" s="1188" t="s">
        <v>209</v>
      </c>
      <c r="B763" s="1188"/>
      <c r="C763" s="1188"/>
      <c r="D763" s="1188"/>
      <c r="E763" s="1188"/>
      <c r="F763" s="1188"/>
      <c r="G763" s="1188"/>
      <c r="H763" s="1188"/>
      <c r="I763" s="819"/>
      <c r="J763" s="819"/>
      <c r="K763" s="819"/>
    </row>
    <row r="764" spans="1:11" s="334" customFormat="1" ht="17.100000000000001" customHeight="1" x14ac:dyDescent="0.25">
      <c r="A764" s="1184" t="s">
        <v>182</v>
      </c>
      <c r="B764" s="1184" t="s">
        <v>3</v>
      </c>
      <c r="C764" s="1184" t="s">
        <v>4</v>
      </c>
      <c r="D764" s="336" t="s">
        <v>5</v>
      </c>
      <c r="E764" s="337" t="s">
        <v>6</v>
      </c>
      <c r="F764" s="338" t="s">
        <v>7</v>
      </c>
      <c r="G764" s="338" t="s">
        <v>8</v>
      </c>
      <c r="H764" s="337" t="s">
        <v>9</v>
      </c>
      <c r="I764" s="819"/>
      <c r="J764" s="819"/>
      <c r="K764" s="819"/>
    </row>
    <row r="765" spans="1:11" s="334" customFormat="1" ht="17.100000000000001" customHeight="1" x14ac:dyDescent="0.25">
      <c r="A765" s="1185"/>
      <c r="B765" s="1185"/>
      <c r="C765" s="1185"/>
      <c r="D765" s="302" t="s">
        <v>380</v>
      </c>
      <c r="E765" s="339" t="s">
        <v>79</v>
      </c>
      <c r="F765" s="340" t="s">
        <v>632</v>
      </c>
      <c r="G765" s="340" t="s">
        <v>671</v>
      </c>
      <c r="H765" s="303" t="s">
        <v>13</v>
      </c>
      <c r="I765" s="819"/>
      <c r="J765" s="819"/>
      <c r="K765" s="819"/>
    </row>
    <row r="766" spans="1:11" s="334" customFormat="1" ht="17.100000000000001" customHeight="1" x14ac:dyDescent="0.25">
      <c r="A766" s="206">
        <v>1</v>
      </c>
      <c r="B766" s="63" t="s">
        <v>54</v>
      </c>
      <c r="C766" s="1015">
        <v>0</v>
      </c>
      <c r="D766" s="1015">
        <v>0</v>
      </c>
      <c r="E766" s="1015">
        <v>3622500</v>
      </c>
      <c r="F766" s="1015">
        <v>905625000</v>
      </c>
      <c r="G766" s="1015">
        <v>143446433</v>
      </c>
      <c r="H766" s="1015">
        <v>240</v>
      </c>
      <c r="I766" s="819">
        <f t="shared" si="76"/>
        <v>250</v>
      </c>
      <c r="J766" s="819">
        <v>240</v>
      </c>
      <c r="K766" s="819">
        <f t="shared" si="78"/>
        <v>39.59873926846101</v>
      </c>
    </row>
    <row r="767" spans="1:11" s="334" customFormat="1" ht="17.100000000000001" customHeight="1" x14ac:dyDescent="0.25">
      <c r="A767" s="206">
        <v>2</v>
      </c>
      <c r="B767" s="274" t="s">
        <v>31</v>
      </c>
      <c r="C767" s="1015">
        <v>8</v>
      </c>
      <c r="D767" s="1015">
        <v>670.38</v>
      </c>
      <c r="E767" s="1015">
        <v>1153008</v>
      </c>
      <c r="F767" s="1015">
        <v>864756645</v>
      </c>
      <c r="G767" s="1015">
        <v>146415643</v>
      </c>
      <c r="H767" s="1015">
        <v>250</v>
      </c>
      <c r="I767" s="819">
        <v>690</v>
      </c>
      <c r="J767" s="819">
        <v>550</v>
      </c>
      <c r="K767" s="819">
        <f t="shared" si="78"/>
        <v>126.98579975160624</v>
      </c>
    </row>
    <row r="768" spans="1:11" s="334" customFormat="1" ht="17.100000000000001" customHeight="1" x14ac:dyDescent="0.25">
      <c r="A768" s="143"/>
      <c r="B768" s="63" t="s">
        <v>75</v>
      </c>
      <c r="C768" s="1015">
        <v>0</v>
      </c>
      <c r="D768" s="1015">
        <v>0</v>
      </c>
      <c r="E768" s="1015"/>
      <c r="F768" s="1015"/>
      <c r="G768" s="1015">
        <v>559964</v>
      </c>
      <c r="H768" s="1015"/>
      <c r="I768" s="819"/>
      <c r="J768" s="819"/>
      <c r="K768" s="819"/>
    </row>
    <row r="769" spans="1:14" s="334" customFormat="1" ht="17.100000000000001" customHeight="1" x14ac:dyDescent="0.25">
      <c r="A769" s="143"/>
      <c r="B769" s="63" t="s">
        <v>49</v>
      </c>
      <c r="C769" s="1015">
        <v>0</v>
      </c>
      <c r="D769" s="1015">
        <v>0</v>
      </c>
      <c r="E769" s="1015"/>
      <c r="F769" s="1015"/>
      <c r="G769" s="1015">
        <v>31277423</v>
      </c>
      <c r="H769" s="1015"/>
      <c r="I769" s="819"/>
      <c r="J769" s="819"/>
      <c r="K769" s="819"/>
    </row>
    <row r="770" spans="1:14" s="334" customFormat="1" ht="17.100000000000001" customHeight="1" x14ac:dyDescent="0.25">
      <c r="A770" s="1182" t="s">
        <v>50</v>
      </c>
      <c r="B770" s="1183"/>
      <c r="C770" s="335">
        <f>SUM(C766:C769)</f>
        <v>8</v>
      </c>
      <c r="D770" s="335">
        <f t="shared" ref="D770:H770" si="81">SUM(D766:D769)</f>
        <v>670.38</v>
      </c>
      <c r="E770" s="335">
        <f t="shared" si="81"/>
        <v>4775508</v>
      </c>
      <c r="F770" s="371">
        <f>SUM(F766:F769)</f>
        <v>1770381645</v>
      </c>
      <c r="G770" s="335">
        <f>SUM(G766:G769)</f>
        <v>321699463</v>
      </c>
      <c r="H770" s="335">
        <f t="shared" si="81"/>
        <v>490</v>
      </c>
      <c r="I770" s="819"/>
      <c r="J770" s="819"/>
      <c r="K770" s="819"/>
    </row>
    <row r="771" spans="1:14" s="334" customFormat="1" ht="17.100000000000001" customHeight="1" x14ac:dyDescent="0.25">
      <c r="A771" s="343"/>
      <c r="B771" s="349"/>
      <c r="C771" s="349"/>
      <c r="D771" s="350"/>
      <c r="E771" s="350"/>
      <c r="F771" s="351"/>
      <c r="G771" s="351"/>
      <c r="H771" s="347"/>
      <c r="I771" s="819"/>
      <c r="J771" s="819"/>
      <c r="K771" s="819"/>
    </row>
    <row r="772" spans="1:14" s="334" customFormat="1" ht="17.100000000000001" customHeight="1" x14ac:dyDescent="0.25">
      <c r="A772" s="1188" t="s">
        <v>116</v>
      </c>
      <c r="B772" s="1188"/>
      <c r="C772" s="1188"/>
      <c r="D772" s="1188"/>
      <c r="E772" s="1188"/>
      <c r="F772" s="1188"/>
      <c r="G772" s="1188"/>
      <c r="H772" s="1188"/>
      <c r="I772" s="819"/>
      <c r="J772" s="819"/>
      <c r="K772" s="819"/>
    </row>
    <row r="773" spans="1:14" s="334" customFormat="1" ht="17.100000000000001" customHeight="1" x14ac:dyDescent="0.25">
      <c r="A773" s="1184" t="s">
        <v>182</v>
      </c>
      <c r="B773" s="1184" t="s">
        <v>3</v>
      </c>
      <c r="C773" s="1184" t="s">
        <v>4</v>
      </c>
      <c r="D773" s="336" t="s">
        <v>5</v>
      </c>
      <c r="E773" s="337" t="s">
        <v>6</v>
      </c>
      <c r="F773" s="338" t="s">
        <v>7</v>
      </c>
      <c r="G773" s="338" t="s">
        <v>8</v>
      </c>
      <c r="H773" s="337" t="s">
        <v>9</v>
      </c>
      <c r="I773" s="819"/>
      <c r="J773" s="819"/>
      <c r="K773" s="819"/>
    </row>
    <row r="774" spans="1:14" s="334" customFormat="1" ht="17.100000000000001" customHeight="1" x14ac:dyDescent="0.25">
      <c r="A774" s="1185"/>
      <c r="B774" s="1185"/>
      <c r="C774" s="1185"/>
      <c r="D774" s="302" t="s">
        <v>380</v>
      </c>
      <c r="E774" s="339" t="s">
        <v>79</v>
      </c>
      <c r="F774" s="340" t="s">
        <v>632</v>
      </c>
      <c r="G774" s="340" t="s">
        <v>631</v>
      </c>
      <c r="H774" s="303" t="s">
        <v>13</v>
      </c>
      <c r="I774" s="819"/>
      <c r="J774" s="819"/>
      <c r="K774" s="819"/>
    </row>
    <row r="775" spans="1:14" s="334" customFormat="1" ht="17.100000000000001" customHeight="1" x14ac:dyDescent="0.25">
      <c r="A775" s="206">
        <v>1</v>
      </c>
      <c r="B775" s="63" t="s">
        <v>63</v>
      </c>
      <c r="C775" s="942">
        <v>65</v>
      </c>
      <c r="D775" s="943">
        <v>68.69</v>
      </c>
      <c r="E775" s="1030">
        <v>355472</v>
      </c>
      <c r="F775" s="1030">
        <f>E775*210</f>
        <v>74649120</v>
      </c>
      <c r="G775" s="942">
        <f>E775*35</f>
        <v>12441520</v>
      </c>
      <c r="H775" s="1030">
        <v>550</v>
      </c>
      <c r="I775" s="819">
        <f t="shared" si="76"/>
        <v>210</v>
      </c>
      <c r="J775" s="819">
        <v>184.99999999999997</v>
      </c>
      <c r="K775" s="819">
        <f t="shared" si="78"/>
        <v>35</v>
      </c>
      <c r="L775" s="1075" t="s">
        <v>615</v>
      </c>
      <c r="M775">
        <v>8198009.6000000006</v>
      </c>
      <c r="N775">
        <v>409900479.64999998</v>
      </c>
    </row>
    <row r="776" spans="1:14" s="334" customFormat="1" ht="17.100000000000001" customHeight="1" x14ac:dyDescent="0.25">
      <c r="A776" s="143">
        <f>+A775+1</f>
        <v>2</v>
      </c>
      <c r="B776" s="63" t="s">
        <v>67</v>
      </c>
      <c r="C776" s="942">
        <v>14</v>
      </c>
      <c r="D776" s="943">
        <v>13.85</v>
      </c>
      <c r="E776" s="1030">
        <v>8208</v>
      </c>
      <c r="F776" s="1030">
        <v>5745600</v>
      </c>
      <c r="G776" s="1030">
        <v>3714717</v>
      </c>
      <c r="H776" s="1030">
        <v>50</v>
      </c>
      <c r="I776" s="819">
        <f t="shared" si="76"/>
        <v>700</v>
      </c>
      <c r="J776" s="819">
        <v>690.00000000000011</v>
      </c>
      <c r="K776" s="819">
        <f t="shared" si="78"/>
        <v>452.57273391812868</v>
      </c>
      <c r="L776" s="1075" t="s">
        <v>41</v>
      </c>
      <c r="M776">
        <v>39748.1</v>
      </c>
      <c r="N776">
        <v>137057.55000000002</v>
      </c>
    </row>
    <row r="777" spans="1:14" s="334" customFormat="1" ht="17.100000000000001" customHeight="1" x14ac:dyDescent="0.25">
      <c r="A777" s="206">
        <v>3</v>
      </c>
      <c r="B777" s="63" t="s">
        <v>54</v>
      </c>
      <c r="C777" s="942">
        <v>0</v>
      </c>
      <c r="D777" s="942">
        <v>0</v>
      </c>
      <c r="E777" s="942">
        <v>0</v>
      </c>
      <c r="F777" s="942">
        <v>0</v>
      </c>
      <c r="G777" s="942">
        <v>0</v>
      </c>
      <c r="H777" s="942">
        <v>0</v>
      </c>
      <c r="I777" s="819" t="e">
        <f t="shared" si="76"/>
        <v>#DIV/0!</v>
      </c>
      <c r="J777" s="819" t="e">
        <v>#DIV/0!</v>
      </c>
      <c r="K777" s="819" t="e">
        <f t="shared" si="78"/>
        <v>#DIV/0!</v>
      </c>
      <c r="L777" s="1075" t="s">
        <v>58</v>
      </c>
      <c r="M777">
        <v>1032889.3</v>
      </c>
      <c r="N777">
        <v>6829028.8999999966</v>
      </c>
    </row>
    <row r="778" spans="1:14" s="334" customFormat="1" ht="17.100000000000001" customHeight="1" x14ac:dyDescent="0.25">
      <c r="A778" s="143">
        <v>4</v>
      </c>
      <c r="B778" s="63" t="s">
        <v>58</v>
      </c>
      <c r="C778" s="942">
        <v>136</v>
      </c>
      <c r="D778" s="943">
        <v>204.27</v>
      </c>
      <c r="E778" s="1030">
        <v>1032889</v>
      </c>
      <c r="F778" s="1030">
        <f>E778*2150</f>
        <v>2220711350</v>
      </c>
      <c r="G778" s="942">
        <f>E778*310</f>
        <v>320195590</v>
      </c>
      <c r="H778" s="1030">
        <v>1500</v>
      </c>
      <c r="I778" s="819">
        <f t="shared" si="76"/>
        <v>2150</v>
      </c>
      <c r="J778" s="819">
        <v>2100</v>
      </c>
      <c r="K778" s="819">
        <f t="shared" si="78"/>
        <v>310</v>
      </c>
      <c r="L778" s="1075" t="s">
        <v>62</v>
      </c>
      <c r="M778">
        <v>85.43</v>
      </c>
      <c r="N778">
        <v>27337.599999999999</v>
      </c>
    </row>
    <row r="779" spans="1:14" s="334" customFormat="1" ht="17.100000000000001" customHeight="1" x14ac:dyDescent="0.25">
      <c r="A779" s="206">
        <v>5</v>
      </c>
      <c r="B779" s="63" t="s">
        <v>73</v>
      </c>
      <c r="C779" s="942">
        <v>2</v>
      </c>
      <c r="D779" s="943">
        <v>1.65</v>
      </c>
      <c r="E779" s="1030">
        <v>0</v>
      </c>
      <c r="F779" s="1030">
        <v>0</v>
      </c>
      <c r="G779" s="942">
        <v>0</v>
      </c>
      <c r="H779" s="1030">
        <v>0</v>
      </c>
      <c r="I779" s="819" t="e">
        <f t="shared" si="76"/>
        <v>#DIV/0!</v>
      </c>
      <c r="J779" s="819" t="e">
        <v>#DIV/0!</v>
      </c>
      <c r="K779" s="819" t="e">
        <f t="shared" si="78"/>
        <v>#DIV/0!</v>
      </c>
      <c r="L779" s="1075" t="s">
        <v>661</v>
      </c>
      <c r="M779">
        <v>355472.17</v>
      </c>
      <c r="N779">
        <v>246429.27000000002</v>
      </c>
    </row>
    <row r="780" spans="1:14" s="334" customFormat="1" ht="17.100000000000001" customHeight="1" x14ac:dyDescent="0.25">
      <c r="A780" s="143">
        <f t="shared" ref="A780" si="82">+A779+1</f>
        <v>6</v>
      </c>
      <c r="B780" s="63" t="s">
        <v>59</v>
      </c>
      <c r="C780" s="942">
        <v>5</v>
      </c>
      <c r="D780" s="943">
        <v>3878.29</v>
      </c>
      <c r="E780" s="1030">
        <v>8198010</v>
      </c>
      <c r="F780" s="1030">
        <f>E780*550</f>
        <v>4508905500</v>
      </c>
      <c r="G780" s="942">
        <v>409900480</v>
      </c>
      <c r="H780" s="1030">
        <v>150</v>
      </c>
      <c r="I780" s="819">
        <v>290</v>
      </c>
      <c r="J780" s="819">
        <v>290</v>
      </c>
      <c r="K780" s="819">
        <f t="shared" si="78"/>
        <v>49.999997560383555</v>
      </c>
      <c r="L780" s="1075" t="s">
        <v>159</v>
      </c>
      <c r="M780">
        <v>106.34</v>
      </c>
      <c r="N780">
        <v>13218.78</v>
      </c>
    </row>
    <row r="781" spans="1:14" s="334" customFormat="1" ht="17.100000000000001" customHeight="1" x14ac:dyDescent="0.25">
      <c r="A781" s="206">
        <v>7</v>
      </c>
      <c r="B781" s="274" t="s">
        <v>40</v>
      </c>
      <c r="C781" s="942">
        <v>70</v>
      </c>
      <c r="D781" s="943">
        <v>355.93</v>
      </c>
      <c r="E781" s="1030">
        <v>406748</v>
      </c>
      <c r="F781" s="1030">
        <f>E781*605</f>
        <v>246082540</v>
      </c>
      <c r="G781" s="942">
        <f>E781*92</f>
        <v>37420816</v>
      </c>
      <c r="H781" s="1030">
        <v>150</v>
      </c>
      <c r="I781" s="819">
        <f t="shared" ref="I781:I810" si="83">F781/E781</f>
        <v>605</v>
      </c>
      <c r="J781" s="819">
        <v>609.99999706872745</v>
      </c>
      <c r="K781" s="819">
        <f t="shared" si="78"/>
        <v>92</v>
      </c>
      <c r="L781" s="1075" t="s">
        <v>40</v>
      </c>
      <c r="M781">
        <v>406748.88999999996</v>
      </c>
      <c r="N781">
        <v>382309.26999999996</v>
      </c>
    </row>
    <row r="782" spans="1:14" s="334" customFormat="1" ht="17.100000000000001" customHeight="1" x14ac:dyDescent="0.25">
      <c r="A782" s="143">
        <f t="shared" ref="A782" si="84">+A781+1</f>
        <v>8</v>
      </c>
      <c r="B782" s="274" t="s">
        <v>41</v>
      </c>
      <c r="C782" s="942">
        <v>56</v>
      </c>
      <c r="D782" s="943">
        <v>262.63</v>
      </c>
      <c r="E782" s="1030">
        <v>39748</v>
      </c>
      <c r="F782" s="1030">
        <f>E782*482</f>
        <v>19158536</v>
      </c>
      <c r="G782" s="942">
        <f>E782*108</f>
        <v>4292784</v>
      </c>
      <c r="H782" s="1030">
        <v>50</v>
      </c>
      <c r="I782" s="819">
        <f t="shared" si="83"/>
        <v>482</v>
      </c>
      <c r="J782" s="819">
        <v>485.00000000000006</v>
      </c>
      <c r="K782" s="819">
        <f t="shared" si="78"/>
        <v>108</v>
      </c>
      <c r="L782" s="1075" t="s">
        <v>44</v>
      </c>
      <c r="M782">
        <v>150.52000000000001</v>
      </c>
      <c r="N782">
        <v>6697.9</v>
      </c>
    </row>
    <row r="783" spans="1:14" s="334" customFormat="1" ht="17.100000000000001" customHeight="1" x14ac:dyDescent="0.25">
      <c r="A783" s="206">
        <v>9</v>
      </c>
      <c r="B783" s="274" t="s">
        <v>44</v>
      </c>
      <c r="C783" s="942">
        <v>9</v>
      </c>
      <c r="D783" s="943">
        <v>77.31</v>
      </c>
      <c r="E783" s="1030">
        <v>31880</v>
      </c>
      <c r="F783" s="1030">
        <f>E783*540</f>
        <v>17215200</v>
      </c>
      <c r="G783" s="942">
        <f>E783*110</f>
        <v>3506800</v>
      </c>
      <c r="H783" s="1030">
        <v>30</v>
      </c>
      <c r="I783" s="819">
        <f t="shared" si="83"/>
        <v>540</v>
      </c>
      <c r="J783" s="819">
        <v>539.99999999999989</v>
      </c>
      <c r="K783" s="819">
        <f t="shared" si="78"/>
        <v>110</v>
      </c>
    </row>
    <row r="784" spans="1:14" s="334" customFormat="1" ht="17.100000000000001" customHeight="1" x14ac:dyDescent="0.25">
      <c r="A784" s="143">
        <f t="shared" ref="A784" si="85">+A783+1</f>
        <v>10</v>
      </c>
      <c r="B784" s="63" t="s">
        <v>159</v>
      </c>
      <c r="C784" s="942">
        <v>12</v>
      </c>
      <c r="D784" s="943">
        <v>60.75</v>
      </c>
      <c r="E784" s="943">
        <v>5420</v>
      </c>
      <c r="F784" s="1030">
        <f>E784*1800</f>
        <v>9756000</v>
      </c>
      <c r="G784" s="942">
        <f>E784*120</f>
        <v>650400</v>
      </c>
      <c r="H784" s="1030"/>
      <c r="I784" s="819">
        <f t="shared" si="83"/>
        <v>1800</v>
      </c>
      <c r="J784" s="819">
        <v>1950</v>
      </c>
      <c r="K784" s="819">
        <f t="shared" si="78"/>
        <v>120</v>
      </c>
    </row>
    <row r="785" spans="1:11" s="334" customFormat="1" ht="17.100000000000001" customHeight="1" x14ac:dyDescent="0.25">
      <c r="A785" s="143"/>
      <c r="B785" s="63" t="s">
        <v>75</v>
      </c>
      <c r="C785" s="942">
        <v>0</v>
      </c>
      <c r="D785" s="942">
        <v>0</v>
      </c>
      <c r="E785" s="942"/>
      <c r="F785" s="942"/>
      <c r="G785" s="942">
        <v>15833452</v>
      </c>
      <c r="H785" s="942"/>
      <c r="I785" s="819"/>
      <c r="J785" s="819"/>
      <c r="K785" s="819"/>
    </row>
    <row r="786" spans="1:11" s="334" customFormat="1" ht="17.100000000000001" customHeight="1" x14ac:dyDescent="0.25">
      <c r="A786" s="143"/>
      <c r="B786" s="63" t="s">
        <v>49</v>
      </c>
      <c r="C786" s="942">
        <v>0</v>
      </c>
      <c r="D786" s="942">
        <v>0</v>
      </c>
      <c r="E786" s="942"/>
      <c r="F786" s="942"/>
      <c r="G786" s="942"/>
      <c r="H786" s="942"/>
      <c r="I786" s="819"/>
      <c r="J786" s="819"/>
      <c r="K786" s="819"/>
    </row>
    <row r="787" spans="1:11" s="334" customFormat="1" ht="17.100000000000001" customHeight="1" x14ac:dyDescent="0.25">
      <c r="A787" s="1182" t="s">
        <v>50</v>
      </c>
      <c r="B787" s="1183"/>
      <c r="C787" s="335">
        <f>SUM(C775:C786)</f>
        <v>369</v>
      </c>
      <c r="D787" s="335">
        <f t="shared" ref="D787:H787" si="86">SUM(D775:D786)</f>
        <v>4923.3700000000008</v>
      </c>
      <c r="E787" s="371">
        <f>SUM(E775:E786)</f>
        <v>10078375</v>
      </c>
      <c r="F787" s="371">
        <f>SUM(F775:F786)</f>
        <v>7102223846</v>
      </c>
      <c r="G787" s="335">
        <f>SUM(G775:G786)</f>
        <v>807956559</v>
      </c>
      <c r="H787" s="335">
        <f t="shared" si="86"/>
        <v>2480</v>
      </c>
      <c r="I787" s="819"/>
      <c r="J787" s="819"/>
      <c r="K787" s="819"/>
    </row>
    <row r="788" spans="1:11" s="334" customFormat="1" ht="17.100000000000001" customHeight="1" x14ac:dyDescent="0.25">
      <c r="A788" s="353"/>
      <c r="B788" s="354"/>
      <c r="C788" s="354"/>
      <c r="D788" s="355"/>
      <c r="E788" s="355"/>
      <c r="F788" s="356"/>
      <c r="G788" s="356"/>
      <c r="H788" s="357"/>
      <c r="I788" s="819"/>
      <c r="J788" s="819"/>
      <c r="K788" s="819"/>
    </row>
    <row r="789" spans="1:11" s="334" customFormat="1" ht="17.100000000000001" customHeight="1" x14ac:dyDescent="0.25">
      <c r="A789" s="1188" t="s">
        <v>83</v>
      </c>
      <c r="B789" s="1188"/>
      <c r="C789" s="1188"/>
      <c r="D789" s="1188"/>
      <c r="E789" s="1188"/>
      <c r="F789" s="1188"/>
      <c r="G789" s="1188"/>
      <c r="H789" s="1188"/>
      <c r="I789" s="819"/>
      <c r="J789" s="819"/>
      <c r="K789" s="819"/>
    </row>
    <row r="790" spans="1:11" s="334" customFormat="1" ht="17.100000000000001" customHeight="1" x14ac:dyDescent="0.25">
      <c r="A790" s="1184" t="s">
        <v>182</v>
      </c>
      <c r="B790" s="1184" t="s">
        <v>3</v>
      </c>
      <c r="C790" s="1184" t="s">
        <v>4</v>
      </c>
      <c r="D790" s="336" t="s">
        <v>5</v>
      </c>
      <c r="E790" s="337" t="s">
        <v>6</v>
      </c>
      <c r="F790" s="338" t="s">
        <v>7</v>
      </c>
      <c r="G790" s="338" t="s">
        <v>8</v>
      </c>
      <c r="H790" s="337" t="s">
        <v>9</v>
      </c>
      <c r="I790" s="819"/>
      <c r="J790" s="819"/>
      <c r="K790" s="819"/>
    </row>
    <row r="791" spans="1:11" s="334" customFormat="1" ht="17.100000000000001" customHeight="1" x14ac:dyDescent="0.25">
      <c r="A791" s="1185"/>
      <c r="B791" s="1185"/>
      <c r="C791" s="1185"/>
      <c r="D791" s="302" t="s">
        <v>380</v>
      </c>
      <c r="E791" s="339" t="s">
        <v>79</v>
      </c>
      <c r="F791" s="340" t="s">
        <v>632</v>
      </c>
      <c r="G791" s="340" t="s">
        <v>671</v>
      </c>
      <c r="H791" s="303" t="s">
        <v>13</v>
      </c>
      <c r="I791" s="819"/>
      <c r="J791" s="819"/>
      <c r="K791" s="819"/>
    </row>
    <row r="792" spans="1:11" s="334" customFormat="1" ht="17.100000000000001" customHeight="1" x14ac:dyDescent="0.25">
      <c r="A792" s="206">
        <v>1</v>
      </c>
      <c r="B792" s="63" t="s">
        <v>62</v>
      </c>
      <c r="C792" s="942">
        <v>66</v>
      </c>
      <c r="D792" s="942">
        <v>84.31</v>
      </c>
      <c r="E792" s="1030">
        <v>200699</v>
      </c>
      <c r="F792" s="994">
        <f>E792*1850</f>
        <v>371293150</v>
      </c>
      <c r="G792" s="994">
        <v>73642552</v>
      </c>
      <c r="H792" s="1030">
        <v>595</v>
      </c>
      <c r="I792" s="819">
        <f t="shared" si="83"/>
        <v>1850</v>
      </c>
      <c r="J792" s="819">
        <v>1750.0018569722354</v>
      </c>
      <c r="K792" s="819">
        <f t="shared" si="78"/>
        <v>366.93033846705765</v>
      </c>
    </row>
    <row r="793" spans="1:11" s="334" customFormat="1" ht="17.100000000000001" customHeight="1" x14ac:dyDescent="0.25">
      <c r="A793" s="206">
        <v>2</v>
      </c>
      <c r="B793" s="331" t="s">
        <v>24</v>
      </c>
      <c r="C793" s="942">
        <v>1</v>
      </c>
      <c r="D793" s="942">
        <v>31</v>
      </c>
      <c r="E793" s="1030">
        <v>6002</v>
      </c>
      <c r="F793" s="1030">
        <f>E793*1300</f>
        <v>7802600</v>
      </c>
      <c r="G793" s="942">
        <v>755260</v>
      </c>
      <c r="H793" s="1030">
        <v>9</v>
      </c>
      <c r="I793" s="819">
        <f t="shared" si="83"/>
        <v>1300</v>
      </c>
      <c r="J793" s="819">
        <v>1300</v>
      </c>
      <c r="K793" s="819">
        <f t="shared" ref="K793:K810" si="87">G793/E793</f>
        <v>125.83472175941353</v>
      </c>
    </row>
    <row r="794" spans="1:11" s="334" customFormat="1" ht="17.100000000000001" customHeight="1" x14ac:dyDescent="0.25">
      <c r="A794" s="206">
        <v>3</v>
      </c>
      <c r="B794" s="63" t="s">
        <v>58</v>
      </c>
      <c r="C794" s="942">
        <v>9</v>
      </c>
      <c r="D794" s="942">
        <v>22.65</v>
      </c>
      <c r="E794" s="1030">
        <v>6492</v>
      </c>
      <c r="F794" s="1030">
        <f>E794*2050</f>
        <v>13308600</v>
      </c>
      <c r="G794" s="942">
        <v>1703420</v>
      </c>
      <c r="H794" s="1030">
        <v>33</v>
      </c>
      <c r="I794" s="819">
        <v>2000</v>
      </c>
      <c r="J794" s="819">
        <v>1950.0302919708029</v>
      </c>
      <c r="K794" s="819">
        <f t="shared" si="87"/>
        <v>262.38755391250771</v>
      </c>
    </row>
    <row r="795" spans="1:11" s="334" customFormat="1" ht="17.100000000000001" customHeight="1" x14ac:dyDescent="0.25">
      <c r="A795" s="206">
        <v>4</v>
      </c>
      <c r="B795" s="63" t="s">
        <v>60</v>
      </c>
      <c r="C795" s="942">
        <v>29</v>
      </c>
      <c r="D795" s="942">
        <v>29.38</v>
      </c>
      <c r="E795" s="1030">
        <v>220487</v>
      </c>
      <c r="F795" s="1030">
        <f>E795*350</f>
        <v>77170450</v>
      </c>
      <c r="G795" s="942">
        <v>2081350</v>
      </c>
      <c r="H795" s="1030">
        <v>225</v>
      </c>
      <c r="I795" s="819">
        <v>345</v>
      </c>
      <c r="J795" s="819">
        <v>354.99988388006471</v>
      </c>
      <c r="K795" s="819">
        <f t="shared" si="87"/>
        <v>9.4397855655889007</v>
      </c>
    </row>
    <row r="796" spans="1:11" s="334" customFormat="1" ht="17.100000000000001" customHeight="1" x14ac:dyDescent="0.25">
      <c r="A796" s="206">
        <v>5</v>
      </c>
      <c r="B796" s="63" t="s">
        <v>63</v>
      </c>
      <c r="C796" s="942">
        <v>155</v>
      </c>
      <c r="D796" s="942">
        <v>170.93</v>
      </c>
      <c r="E796" s="1030">
        <v>3216419</v>
      </c>
      <c r="F796" s="1030">
        <f>E796*200</f>
        <v>643283800</v>
      </c>
      <c r="G796" s="942">
        <v>136471310</v>
      </c>
      <c r="H796" s="1030">
        <v>1150</v>
      </c>
      <c r="I796" s="819">
        <f t="shared" si="83"/>
        <v>200</v>
      </c>
      <c r="J796" s="819">
        <v>180.00000623334353</v>
      </c>
      <c r="K796" s="819">
        <f t="shared" si="87"/>
        <v>42.429580847520178</v>
      </c>
    </row>
    <row r="797" spans="1:11" s="334" customFormat="1" ht="17.100000000000001" customHeight="1" x14ac:dyDescent="0.25">
      <c r="A797" s="206">
        <v>6</v>
      </c>
      <c r="B797" s="63" t="s">
        <v>205</v>
      </c>
      <c r="C797" s="942">
        <v>9</v>
      </c>
      <c r="D797" s="942">
        <v>17.75</v>
      </c>
      <c r="E797" s="1030">
        <f>22450+2585</f>
        <v>25035</v>
      </c>
      <c r="F797" s="1030">
        <f>E797*690</f>
        <v>17274150</v>
      </c>
      <c r="G797" s="942">
        <f>691954+28462</f>
        <v>720416</v>
      </c>
      <c r="H797" s="1030">
        <v>45</v>
      </c>
      <c r="I797" s="819">
        <f t="shared" si="83"/>
        <v>690</v>
      </c>
      <c r="J797" s="819">
        <v>690.00392862989031</v>
      </c>
      <c r="K797" s="819">
        <f t="shared" si="87"/>
        <v>28.776353105652088</v>
      </c>
    </row>
    <row r="798" spans="1:11" s="334" customFormat="1" ht="17.100000000000001" customHeight="1" x14ac:dyDescent="0.25">
      <c r="A798" s="206">
        <v>7</v>
      </c>
      <c r="B798" s="63" t="s">
        <v>59</v>
      </c>
      <c r="C798" s="942">
        <v>0</v>
      </c>
      <c r="D798" s="942">
        <v>0</v>
      </c>
      <c r="E798" s="942">
        <v>0</v>
      </c>
      <c r="F798" s="942">
        <v>0</v>
      </c>
      <c r="G798" s="942">
        <v>0</v>
      </c>
      <c r="H798" s="942">
        <v>0</v>
      </c>
      <c r="I798" s="819" t="e">
        <f t="shared" si="83"/>
        <v>#DIV/0!</v>
      </c>
      <c r="J798" s="819" t="e">
        <v>#DIV/0!</v>
      </c>
      <c r="K798" s="819" t="e">
        <f t="shared" si="87"/>
        <v>#DIV/0!</v>
      </c>
    </row>
    <row r="799" spans="1:11" s="334" customFormat="1" ht="17.100000000000001" customHeight="1" x14ac:dyDescent="0.25">
      <c r="A799" s="206">
        <v>8</v>
      </c>
      <c r="B799" s="63" t="s">
        <v>54</v>
      </c>
      <c r="C799" s="942">
        <v>0</v>
      </c>
      <c r="D799" s="942">
        <v>0</v>
      </c>
      <c r="E799" s="942">
        <v>0</v>
      </c>
      <c r="F799" s="942">
        <v>0</v>
      </c>
      <c r="G799" s="942">
        <v>0</v>
      </c>
      <c r="H799" s="942">
        <v>0</v>
      </c>
      <c r="I799" s="819" t="e">
        <f t="shared" si="83"/>
        <v>#DIV/0!</v>
      </c>
      <c r="J799" s="819" t="e">
        <v>#DIV/0!</v>
      </c>
      <c r="K799" s="819" t="e">
        <f t="shared" si="87"/>
        <v>#DIV/0!</v>
      </c>
    </row>
    <row r="800" spans="1:11" s="334" customFormat="1" ht="17.100000000000001" customHeight="1" x14ac:dyDescent="0.25">
      <c r="A800" s="206">
        <v>9</v>
      </c>
      <c r="B800" s="63" t="s">
        <v>72</v>
      </c>
      <c r="C800" s="942">
        <v>14</v>
      </c>
      <c r="D800" s="942">
        <v>24.9</v>
      </c>
      <c r="E800" s="1030">
        <v>9922</v>
      </c>
      <c r="F800" s="1030">
        <f>E800*1450</f>
        <v>14386900</v>
      </c>
      <c r="G800" s="942">
        <v>923072</v>
      </c>
      <c r="H800" s="1030">
        <v>123</v>
      </c>
      <c r="I800" s="819">
        <f t="shared" si="83"/>
        <v>1450</v>
      </c>
      <c r="J800" s="819">
        <v>1450.00984519283</v>
      </c>
      <c r="K800" s="819">
        <f t="shared" si="87"/>
        <v>93.032856278976013</v>
      </c>
    </row>
    <row r="801" spans="1:11" s="334" customFormat="1" ht="17.100000000000001" customHeight="1" x14ac:dyDescent="0.25">
      <c r="A801" s="206">
        <v>10</v>
      </c>
      <c r="B801" s="63" t="s">
        <v>46</v>
      </c>
      <c r="C801" s="942">
        <v>27</v>
      </c>
      <c r="D801" s="942">
        <v>1027.67</v>
      </c>
      <c r="E801" s="1030">
        <v>172979</v>
      </c>
      <c r="F801" s="1030">
        <f>E801*1350</f>
        <v>233521650</v>
      </c>
      <c r="G801" s="942">
        <v>59231491</v>
      </c>
      <c r="H801" s="1030">
        <v>225</v>
      </c>
      <c r="I801" s="819">
        <f t="shared" si="83"/>
        <v>1350</v>
      </c>
      <c r="J801" s="819">
        <v>1310.0088300530645</v>
      </c>
      <c r="K801" s="819">
        <f t="shared" si="87"/>
        <v>342.42012614247972</v>
      </c>
    </row>
    <row r="802" spans="1:11" s="334" customFormat="1" ht="17.100000000000001" customHeight="1" x14ac:dyDescent="0.25">
      <c r="A802" s="206">
        <v>11</v>
      </c>
      <c r="B802" s="63" t="s">
        <v>27</v>
      </c>
      <c r="C802" s="942">
        <v>11</v>
      </c>
      <c r="D802" s="942">
        <v>570.46</v>
      </c>
      <c r="E802" s="1030">
        <v>226477</v>
      </c>
      <c r="F802" s="1030">
        <f>E802*1750</f>
        <v>396334750</v>
      </c>
      <c r="G802" s="1030">
        <v>62334322</v>
      </c>
      <c r="H802" s="1030">
        <v>18</v>
      </c>
      <c r="I802" s="819">
        <f t="shared" si="83"/>
        <v>1750</v>
      </c>
      <c r="J802" s="819">
        <v>1800.0053942685897</v>
      </c>
      <c r="K802" s="819">
        <f t="shared" si="87"/>
        <v>275.23466842107587</v>
      </c>
    </row>
    <row r="803" spans="1:11" s="334" customFormat="1" ht="17.100000000000001" customHeight="1" x14ac:dyDescent="0.25">
      <c r="A803" s="206">
        <v>12</v>
      </c>
      <c r="B803" s="63" t="s">
        <v>39</v>
      </c>
      <c r="C803" s="942">
        <v>7</v>
      </c>
      <c r="D803" s="942">
        <v>197.53</v>
      </c>
      <c r="E803" s="1030">
        <v>18131</v>
      </c>
      <c r="F803" s="1030">
        <f>E803*J803</f>
        <v>29009564.964674339</v>
      </c>
      <c r="G803" s="942">
        <v>11744060</v>
      </c>
      <c r="H803" s="1030">
        <v>23</v>
      </c>
      <c r="I803" s="819">
        <f t="shared" si="83"/>
        <v>1599.9980676561877</v>
      </c>
      <c r="J803" s="819">
        <v>1599.9980676561877</v>
      </c>
      <c r="K803" s="819">
        <f t="shared" si="87"/>
        <v>647.7337157354807</v>
      </c>
    </row>
    <row r="804" spans="1:11" s="334" customFormat="1" ht="17.100000000000001" customHeight="1" x14ac:dyDescent="0.25">
      <c r="A804" s="206">
        <v>13</v>
      </c>
      <c r="B804" s="63" t="s">
        <v>176</v>
      </c>
      <c r="C804" s="942">
        <v>1</v>
      </c>
      <c r="D804" s="942">
        <v>44</v>
      </c>
      <c r="E804" s="1030">
        <v>86966</v>
      </c>
      <c r="F804" s="1030">
        <f t="shared" ref="F804:F808" si="88">E804*J804</f>
        <v>21741452.593407299</v>
      </c>
      <c r="G804" s="942">
        <v>1135765</v>
      </c>
      <c r="H804" s="1030">
        <v>28</v>
      </c>
      <c r="I804" s="819">
        <f t="shared" si="83"/>
        <v>249.99945488360163</v>
      </c>
      <c r="J804" s="819">
        <v>249.99945488360163</v>
      </c>
      <c r="K804" s="819">
        <f t="shared" si="87"/>
        <v>13.059873973736863</v>
      </c>
    </row>
    <row r="805" spans="1:11" s="334" customFormat="1" ht="17.100000000000001" customHeight="1" x14ac:dyDescent="0.25">
      <c r="A805" s="206">
        <v>14</v>
      </c>
      <c r="B805" s="63" t="s">
        <v>26</v>
      </c>
      <c r="C805" s="942">
        <v>2</v>
      </c>
      <c r="D805" s="942">
        <v>59</v>
      </c>
      <c r="E805" s="1030">
        <v>45650</v>
      </c>
      <c r="F805" s="1030">
        <f t="shared" si="88"/>
        <v>20086014.94299636</v>
      </c>
      <c r="G805" s="942">
        <v>1611628</v>
      </c>
      <c r="H805" s="1030">
        <v>15</v>
      </c>
      <c r="I805" s="819">
        <f t="shared" si="83"/>
        <v>440.00032733836497</v>
      </c>
      <c r="J805" s="819">
        <v>440.00032733836497</v>
      </c>
      <c r="K805" s="819">
        <f t="shared" si="87"/>
        <v>35.304008762322013</v>
      </c>
    </row>
    <row r="806" spans="1:11" s="334" customFormat="1" ht="17.100000000000001" customHeight="1" x14ac:dyDescent="0.25">
      <c r="A806" s="206">
        <v>15</v>
      </c>
      <c r="B806" s="63" t="s">
        <v>25</v>
      </c>
      <c r="C806" s="942">
        <v>12</v>
      </c>
      <c r="D806" s="942">
        <v>130.97</v>
      </c>
      <c r="E806" s="1030">
        <v>69971</v>
      </c>
      <c r="F806" s="1030">
        <f t="shared" si="88"/>
        <v>59475884.636401966</v>
      </c>
      <c r="G806" s="942">
        <v>7615607</v>
      </c>
      <c r="H806" s="1030">
        <v>43</v>
      </c>
      <c r="I806" s="819">
        <f t="shared" si="83"/>
        <v>850.00764082837122</v>
      </c>
      <c r="J806" s="819">
        <v>850.00764082837122</v>
      </c>
      <c r="K806" s="819">
        <f t="shared" si="87"/>
        <v>108.83947635448972</v>
      </c>
    </row>
    <row r="807" spans="1:11" s="334" customFormat="1" ht="17.100000000000001" customHeight="1" x14ac:dyDescent="0.25">
      <c r="A807" s="206">
        <v>16</v>
      </c>
      <c r="B807" s="63" t="s">
        <v>41</v>
      </c>
      <c r="C807" s="942">
        <v>145</v>
      </c>
      <c r="D807" s="942">
        <v>17547.259999999998</v>
      </c>
      <c r="E807" s="1030">
        <v>2262252</v>
      </c>
      <c r="F807" s="1030">
        <f t="shared" si="88"/>
        <v>1063258880.9007456</v>
      </c>
      <c r="G807" s="942">
        <v>59391108</v>
      </c>
      <c r="H807" s="1030">
        <v>121</v>
      </c>
      <c r="I807" s="819">
        <f t="shared" si="83"/>
        <v>470.00019489462079</v>
      </c>
      <c r="J807" s="819">
        <v>470.00019489462079</v>
      </c>
      <c r="K807" s="819">
        <f t="shared" si="87"/>
        <v>26.253091167562236</v>
      </c>
    </row>
    <row r="808" spans="1:11" s="334" customFormat="1" ht="17.100000000000001" customHeight="1" x14ac:dyDescent="0.25">
      <c r="A808" s="206">
        <v>17</v>
      </c>
      <c r="B808" s="63" t="s">
        <v>40</v>
      </c>
      <c r="C808" s="942">
        <v>18</v>
      </c>
      <c r="D808" s="942">
        <v>70.58</v>
      </c>
      <c r="E808" s="1030">
        <v>69191</v>
      </c>
      <c r="F808" s="1030">
        <f t="shared" si="88"/>
        <v>41514363.646404482</v>
      </c>
      <c r="G808" s="942">
        <v>72752478</v>
      </c>
      <c r="H808" s="1030">
        <v>240</v>
      </c>
      <c r="I808" s="819">
        <f t="shared" si="83"/>
        <v>599.99658404134186</v>
      </c>
      <c r="J808" s="819">
        <v>599.99658404134186</v>
      </c>
      <c r="K808" s="819">
        <f t="shared" si="87"/>
        <v>1051.4731395701754</v>
      </c>
    </row>
    <row r="809" spans="1:11" s="334" customFormat="1" ht="17.100000000000001" customHeight="1" x14ac:dyDescent="0.25">
      <c r="A809" s="206">
        <v>18</v>
      </c>
      <c r="B809" s="274" t="s">
        <v>44</v>
      </c>
      <c r="C809" s="942">
        <v>0</v>
      </c>
      <c r="D809" s="942">
        <v>0</v>
      </c>
      <c r="E809" s="942">
        <v>0</v>
      </c>
      <c r="F809" s="942">
        <v>0</v>
      </c>
      <c r="G809" s="942">
        <v>0</v>
      </c>
      <c r="H809" s="942">
        <v>0</v>
      </c>
      <c r="I809" s="819" t="e">
        <f t="shared" si="83"/>
        <v>#DIV/0!</v>
      </c>
      <c r="J809" s="819"/>
      <c r="K809" s="819" t="e">
        <f t="shared" si="87"/>
        <v>#DIV/0!</v>
      </c>
    </row>
    <row r="810" spans="1:11" s="334" customFormat="1" ht="17.100000000000001" customHeight="1" x14ac:dyDescent="0.25">
      <c r="A810" s="206">
        <v>19</v>
      </c>
      <c r="B810" s="274" t="s">
        <v>65</v>
      </c>
      <c r="C810" s="942">
        <v>0</v>
      </c>
      <c r="D810" s="942">
        <v>0</v>
      </c>
      <c r="E810" s="942">
        <v>0</v>
      </c>
      <c r="F810" s="942">
        <v>0</v>
      </c>
      <c r="G810" s="942">
        <v>0</v>
      </c>
      <c r="H810" s="942">
        <v>0</v>
      </c>
      <c r="I810" s="819" t="e">
        <f t="shared" si="83"/>
        <v>#DIV/0!</v>
      </c>
      <c r="J810" s="819"/>
      <c r="K810" s="819" t="e">
        <f t="shared" si="87"/>
        <v>#DIV/0!</v>
      </c>
    </row>
    <row r="811" spans="1:11" s="334" customFormat="1" ht="17.100000000000001" customHeight="1" x14ac:dyDescent="0.25">
      <c r="A811" s="206"/>
      <c r="B811" s="63" t="s">
        <v>75</v>
      </c>
      <c r="C811" s="942">
        <v>0</v>
      </c>
      <c r="D811" s="942">
        <v>0</v>
      </c>
      <c r="E811" s="942"/>
      <c r="F811" s="942"/>
      <c r="G811" s="942">
        <v>1011000</v>
      </c>
      <c r="H811" s="942"/>
      <c r="I811" s="819"/>
      <c r="J811" s="819"/>
      <c r="K811" s="819"/>
    </row>
    <row r="812" spans="1:11" s="334" customFormat="1" ht="17.100000000000001" customHeight="1" x14ac:dyDescent="0.25">
      <c r="A812" s="143"/>
      <c r="B812" s="63" t="s">
        <v>49</v>
      </c>
      <c r="C812" s="942">
        <v>0</v>
      </c>
      <c r="D812" s="942">
        <v>0</v>
      </c>
      <c r="E812" s="942"/>
      <c r="F812" s="942"/>
      <c r="G812" s="942">
        <v>403589442</v>
      </c>
      <c r="H812" s="942"/>
      <c r="I812" s="819"/>
      <c r="J812" s="819"/>
      <c r="K812" s="819"/>
    </row>
    <row r="813" spans="1:11" s="334" customFormat="1" ht="17.100000000000001" customHeight="1" x14ac:dyDescent="0.25">
      <c r="A813" s="1182" t="s">
        <v>50</v>
      </c>
      <c r="B813" s="1183"/>
      <c r="C813" s="335">
        <f>SUM(C792:C812)</f>
        <v>506</v>
      </c>
      <c r="D813" s="335">
        <f t="shared" ref="D813:H813" si="89">SUM(D792:D812)</f>
        <v>20028.39</v>
      </c>
      <c r="E813" s="335">
        <f t="shared" si="89"/>
        <v>6636673</v>
      </c>
      <c r="F813" s="335">
        <f t="shared" si="89"/>
        <v>3009462211.6846294</v>
      </c>
      <c r="G813" s="371">
        <f>SUM(G792:G812)</f>
        <v>896714281</v>
      </c>
      <c r="H813" s="335">
        <f t="shared" si="89"/>
        <v>2893</v>
      </c>
      <c r="I813" s="819"/>
      <c r="J813" s="819"/>
      <c r="K813" s="819"/>
    </row>
    <row r="814" spans="1:11" ht="15.75" x14ac:dyDescent="0.25">
      <c r="A814" s="138"/>
      <c r="B814" s="65"/>
      <c r="C814" s="65"/>
      <c r="D814" s="139"/>
      <c r="E814" s="139"/>
      <c r="F814" s="127"/>
      <c r="G814" s="127"/>
      <c r="H814" s="67"/>
      <c r="I814" s="819"/>
      <c r="J814" s="819"/>
      <c r="K814" s="819"/>
    </row>
    <row r="815" spans="1:11" ht="30.75" x14ac:dyDescent="0.25">
      <c r="A815" s="1216" t="s">
        <v>180</v>
      </c>
      <c r="B815" s="1216"/>
      <c r="C815" s="1216"/>
      <c r="D815" s="1216"/>
      <c r="E815" s="1216"/>
      <c r="F815" s="1216"/>
      <c r="G815" s="1216"/>
      <c r="H815" s="1216"/>
      <c r="I815" s="819"/>
      <c r="J815" s="819"/>
      <c r="K815" s="819"/>
    </row>
    <row r="816" spans="1:11" ht="25.5" x14ac:dyDescent="0.35">
      <c r="A816" s="1217" t="s">
        <v>210</v>
      </c>
      <c r="B816" s="1217"/>
      <c r="C816" s="1217"/>
      <c r="D816" s="1217"/>
      <c r="E816" s="1217"/>
      <c r="F816" s="1217"/>
      <c r="G816" s="1217"/>
      <c r="H816" s="1217"/>
      <c r="I816" s="819"/>
      <c r="J816" s="819"/>
      <c r="K816" s="819"/>
    </row>
    <row r="817" spans="1:11" ht="22.5" x14ac:dyDescent="0.3">
      <c r="A817" s="1218" t="str">
        <f>A3</f>
        <v>Financial Year 2023-24</v>
      </c>
      <c r="B817" s="1218"/>
      <c r="C817" s="1218"/>
      <c r="D817" s="1218"/>
      <c r="E817" s="1218"/>
      <c r="F817" s="1218"/>
      <c r="G817" s="1218"/>
      <c r="H817" s="1218"/>
      <c r="I817" s="819"/>
      <c r="J817" s="819"/>
      <c r="K817" s="819"/>
    </row>
    <row r="818" spans="1:11" x14ac:dyDescent="0.25">
      <c r="I818" s="819"/>
      <c r="J818" s="819"/>
      <c r="K818" s="819"/>
    </row>
    <row r="819" spans="1:11" ht="17.100000000000001" customHeight="1" x14ac:dyDescent="0.25">
      <c r="A819" s="1186" t="s">
        <v>182</v>
      </c>
      <c r="B819" s="1186" t="s">
        <v>3</v>
      </c>
      <c r="C819" s="1186" t="s">
        <v>4</v>
      </c>
      <c r="D819" s="565" t="s">
        <v>5</v>
      </c>
      <c r="E819" s="566" t="s">
        <v>6</v>
      </c>
      <c r="F819" s="567" t="s">
        <v>7</v>
      </c>
      <c r="G819" s="567" t="s">
        <v>8</v>
      </c>
      <c r="H819" s="566" t="s">
        <v>9</v>
      </c>
      <c r="I819" s="819"/>
      <c r="J819" s="819"/>
      <c r="K819" s="819"/>
    </row>
    <row r="820" spans="1:11" ht="17.100000000000001" customHeight="1" x14ac:dyDescent="0.25">
      <c r="A820" s="1190"/>
      <c r="B820" s="1187"/>
      <c r="C820" s="1190"/>
      <c r="D820" s="568" t="s">
        <v>380</v>
      </c>
      <c r="E820" s="339" t="s">
        <v>79</v>
      </c>
      <c r="F820" s="340" t="s">
        <v>632</v>
      </c>
      <c r="G820" s="340" t="s">
        <v>671</v>
      </c>
      <c r="H820" s="569" t="s">
        <v>13</v>
      </c>
      <c r="I820" s="819"/>
      <c r="J820" s="819"/>
      <c r="K820" s="819"/>
    </row>
    <row r="821" spans="1:11" s="555" customFormat="1" ht="17.100000000000001" customHeight="1" x14ac:dyDescent="0.25">
      <c r="A821" s="172">
        <v>1</v>
      </c>
      <c r="B821" s="173" t="s">
        <v>211</v>
      </c>
      <c r="C821" s="167">
        <f t="shared" ref="C821:H821" si="90">C20</f>
        <v>969</v>
      </c>
      <c r="D821" s="552">
        <f t="shared" si="90"/>
        <v>3836.9492</v>
      </c>
      <c r="E821" s="170">
        <f t="shared" si="90"/>
        <v>3610469.111111111</v>
      </c>
      <c r="F821" s="826">
        <f t="shared" si="90"/>
        <v>5021088306.1111107</v>
      </c>
      <c r="G821" s="167">
        <f t="shared" si="90"/>
        <v>1047560863</v>
      </c>
      <c r="H821" s="172">
        <f t="shared" si="90"/>
        <v>3928</v>
      </c>
      <c r="I821" s="819"/>
      <c r="J821" s="819"/>
      <c r="K821" s="819"/>
    </row>
    <row r="822" spans="1:11" s="555" customFormat="1" ht="17.100000000000001" customHeight="1" x14ac:dyDescent="0.25">
      <c r="A822" s="172">
        <v>2</v>
      </c>
      <c r="B822" s="173" t="s">
        <v>212</v>
      </c>
      <c r="C822" s="167">
        <f t="shared" ref="C822:H822" si="91">C37</f>
        <v>620</v>
      </c>
      <c r="D822" s="552">
        <f t="shared" si="91"/>
        <v>3139.44</v>
      </c>
      <c r="E822" s="170">
        <f t="shared" si="91"/>
        <v>3140708.21</v>
      </c>
      <c r="F822" s="167">
        <f t="shared" si="91"/>
        <v>1396727307</v>
      </c>
      <c r="G822" s="167">
        <f t="shared" si="91"/>
        <v>713181243</v>
      </c>
      <c r="H822" s="172">
        <f t="shared" si="91"/>
        <v>3247</v>
      </c>
      <c r="I822" s="819"/>
      <c r="J822" s="819"/>
      <c r="K822" s="819"/>
    </row>
    <row r="823" spans="1:11" s="555" customFormat="1" ht="17.100000000000001" customHeight="1" x14ac:dyDescent="0.25">
      <c r="A823" s="172">
        <v>3</v>
      </c>
      <c r="B823" s="173" t="s">
        <v>213</v>
      </c>
      <c r="C823" s="167">
        <f t="shared" ref="C823:H823" si="92">C55</f>
        <v>331</v>
      </c>
      <c r="D823" s="552">
        <f t="shared" si="92"/>
        <v>418.86</v>
      </c>
      <c r="E823" s="170">
        <f t="shared" si="92"/>
        <v>9617128.6199999992</v>
      </c>
      <c r="F823" s="167">
        <f t="shared" si="92"/>
        <v>6554306949</v>
      </c>
      <c r="G823" s="167">
        <f t="shared" si="92"/>
        <v>1232893272</v>
      </c>
      <c r="H823" s="172">
        <f t="shared" si="92"/>
        <v>9235</v>
      </c>
      <c r="I823" s="819"/>
      <c r="J823" s="819"/>
      <c r="K823" s="819"/>
    </row>
    <row r="824" spans="1:11" s="555" customFormat="1" ht="17.100000000000001" customHeight="1" x14ac:dyDescent="0.25">
      <c r="A824" s="172">
        <v>4</v>
      </c>
      <c r="B824" s="173" t="s">
        <v>145</v>
      </c>
      <c r="C824" s="167">
        <f t="shared" ref="C824:H824" si="93">C69</f>
        <v>164</v>
      </c>
      <c r="D824" s="552">
        <f t="shared" si="93"/>
        <v>190.89</v>
      </c>
      <c r="E824" s="170">
        <f t="shared" si="93"/>
        <v>9741261.0599999987</v>
      </c>
      <c r="F824" s="167">
        <f t="shared" si="93"/>
        <v>3886629947.1499996</v>
      </c>
      <c r="G824" s="167">
        <f t="shared" si="93"/>
        <v>907450926</v>
      </c>
      <c r="H824" s="172">
        <f t="shared" si="93"/>
        <v>28000</v>
      </c>
      <c r="I824" s="819"/>
      <c r="J824" s="819"/>
      <c r="K824" s="819"/>
    </row>
    <row r="825" spans="1:11" s="555" customFormat="1" ht="17.100000000000001" customHeight="1" x14ac:dyDescent="0.25">
      <c r="A825" s="172">
        <v>5</v>
      </c>
      <c r="B825" s="173" t="s">
        <v>150</v>
      </c>
      <c r="C825" s="167">
        <f t="shared" ref="C825:H825" si="94">C85</f>
        <v>157</v>
      </c>
      <c r="D825" s="552">
        <f t="shared" si="94"/>
        <v>357.87</v>
      </c>
      <c r="E825" s="170">
        <f t="shared" si="94"/>
        <v>2312042.0299999998</v>
      </c>
      <c r="F825" s="167">
        <f t="shared" si="94"/>
        <v>2590710590</v>
      </c>
      <c r="G825" s="167">
        <f t="shared" si="94"/>
        <v>475032971</v>
      </c>
      <c r="H825" s="172">
        <f t="shared" si="94"/>
        <v>718</v>
      </c>
      <c r="I825" s="819"/>
      <c r="J825" s="819"/>
      <c r="K825" s="819"/>
    </row>
    <row r="826" spans="1:11" s="555" customFormat="1" ht="17.100000000000001" customHeight="1" x14ac:dyDescent="0.25">
      <c r="A826" s="172">
        <v>6</v>
      </c>
      <c r="B826" s="556" t="s">
        <v>140</v>
      </c>
      <c r="C826" s="167">
        <f t="shared" ref="C826:H826" si="95">C98</f>
        <v>48</v>
      </c>
      <c r="D826" s="552">
        <f t="shared" si="95"/>
        <v>895.78430000000003</v>
      </c>
      <c r="E826" s="170">
        <f t="shared" si="95"/>
        <v>817292.55599999998</v>
      </c>
      <c r="F826" s="170">
        <f t="shared" si="95"/>
        <v>134161944.962</v>
      </c>
      <c r="G826" s="170">
        <f t="shared" si="95"/>
        <v>128950816.59999999</v>
      </c>
      <c r="H826" s="172">
        <f t="shared" si="95"/>
        <v>250</v>
      </c>
      <c r="I826" s="819"/>
      <c r="J826" s="819"/>
      <c r="K826" s="819"/>
    </row>
    <row r="827" spans="1:11" s="555" customFormat="1" ht="17.100000000000001" customHeight="1" x14ac:dyDescent="0.25">
      <c r="A827" s="172">
        <v>7</v>
      </c>
      <c r="B827" s="173" t="s">
        <v>151</v>
      </c>
      <c r="C827" s="167">
        <f t="shared" ref="C827:H827" si="96">C118</f>
        <v>528</v>
      </c>
      <c r="D827" s="552">
        <f t="shared" si="96"/>
        <v>9304.82</v>
      </c>
      <c r="E827" s="170">
        <f t="shared" si="96"/>
        <v>10016014</v>
      </c>
      <c r="F827" s="167">
        <f t="shared" si="96"/>
        <v>3729461686</v>
      </c>
      <c r="G827" s="167">
        <f t="shared" si="96"/>
        <v>1032114666</v>
      </c>
      <c r="H827" s="172">
        <f t="shared" si="96"/>
        <v>4834</v>
      </c>
      <c r="I827" s="819"/>
      <c r="J827" s="819"/>
      <c r="K827" s="819"/>
    </row>
    <row r="828" spans="1:11" s="555" customFormat="1" ht="17.100000000000001" customHeight="1" x14ac:dyDescent="0.25">
      <c r="A828" s="172">
        <v>8</v>
      </c>
      <c r="B828" s="556" t="s">
        <v>214</v>
      </c>
      <c r="C828" s="167">
        <f t="shared" ref="C828:H828" si="97">C136</f>
        <v>384</v>
      </c>
      <c r="D828" s="552">
        <f t="shared" si="97"/>
        <v>3020.5699999999997</v>
      </c>
      <c r="E828" s="170">
        <f t="shared" si="97"/>
        <v>5366287</v>
      </c>
      <c r="F828" s="170">
        <f>F136</f>
        <v>2316228897</v>
      </c>
      <c r="G828" s="170">
        <f>G136</f>
        <v>472245072</v>
      </c>
      <c r="H828" s="172">
        <f t="shared" si="97"/>
        <v>998</v>
      </c>
      <c r="I828" s="819"/>
      <c r="J828" s="819"/>
      <c r="K828" s="819"/>
    </row>
    <row r="829" spans="1:11" s="555" customFormat="1" ht="17.100000000000001" customHeight="1" x14ac:dyDescent="0.25">
      <c r="A829" s="172">
        <v>9</v>
      </c>
      <c r="B829" s="173" t="s">
        <v>215</v>
      </c>
      <c r="C829" s="167">
        <f t="shared" ref="C829:H829" si="98">C152</f>
        <v>19</v>
      </c>
      <c r="D829" s="552">
        <f t="shared" si="98"/>
        <v>1914.2160999999999</v>
      </c>
      <c r="E829" s="170">
        <f t="shared" si="98"/>
        <v>3362720</v>
      </c>
      <c r="F829" s="167">
        <f t="shared" si="98"/>
        <v>3118336493</v>
      </c>
      <c r="G829" s="167">
        <f t="shared" si="98"/>
        <v>703153725</v>
      </c>
      <c r="H829" s="172">
        <f t="shared" si="98"/>
        <v>5330</v>
      </c>
      <c r="I829" s="819"/>
      <c r="J829" s="819"/>
      <c r="K829" s="819"/>
    </row>
    <row r="830" spans="1:11" s="555" customFormat="1" ht="17.100000000000001" customHeight="1" x14ac:dyDescent="0.25">
      <c r="A830" s="172">
        <v>10</v>
      </c>
      <c r="B830" s="173" t="s">
        <v>216</v>
      </c>
      <c r="C830" s="167">
        <f t="shared" ref="C830:H830" si="99">C163</f>
        <v>424</v>
      </c>
      <c r="D830" s="552">
        <f t="shared" si="99"/>
        <v>685.80399999999997</v>
      </c>
      <c r="E830" s="170">
        <f t="shared" si="99"/>
        <v>15059735.65</v>
      </c>
      <c r="F830" s="167">
        <f t="shared" si="99"/>
        <v>2641835749</v>
      </c>
      <c r="G830" s="167">
        <f t="shared" si="99"/>
        <v>1033580608</v>
      </c>
      <c r="H830" s="172">
        <f t="shared" si="99"/>
        <v>6620</v>
      </c>
      <c r="I830" s="819"/>
      <c r="J830" s="819"/>
      <c r="K830" s="819"/>
    </row>
    <row r="831" spans="1:11" s="555" customFormat="1" ht="17.100000000000001" customHeight="1" x14ac:dyDescent="0.25">
      <c r="A831" s="172">
        <v>11</v>
      </c>
      <c r="B831" s="173" t="s">
        <v>217</v>
      </c>
      <c r="C831" s="167">
        <f t="shared" ref="C831:H831" si="100">C187</f>
        <v>1492</v>
      </c>
      <c r="D831" s="552">
        <f t="shared" si="100"/>
        <v>12158.589999999998</v>
      </c>
      <c r="E831" s="170">
        <f t="shared" si="100"/>
        <v>12412382.896647435</v>
      </c>
      <c r="F831" s="167">
        <f t="shared" si="100"/>
        <v>8742354726.770153</v>
      </c>
      <c r="G831" s="167">
        <f t="shared" si="100"/>
        <v>1426959526</v>
      </c>
      <c r="H831" s="172">
        <f t="shared" si="100"/>
        <v>11804</v>
      </c>
      <c r="I831" s="819"/>
      <c r="J831" s="819"/>
      <c r="K831" s="819"/>
    </row>
    <row r="832" spans="1:11" s="555" customFormat="1" ht="17.100000000000001" customHeight="1" x14ac:dyDescent="0.25">
      <c r="A832" s="172">
        <v>12</v>
      </c>
      <c r="B832" s="173" t="s">
        <v>218</v>
      </c>
      <c r="C832" s="167">
        <f t="shared" ref="C832:H832" si="101">C202</f>
        <v>376</v>
      </c>
      <c r="D832" s="552">
        <f t="shared" si="101"/>
        <v>10797.97</v>
      </c>
      <c r="E832" s="170">
        <f t="shared" si="101"/>
        <v>14552921.3125</v>
      </c>
      <c r="F832" s="167">
        <f t="shared" si="101"/>
        <v>9475599087.625</v>
      </c>
      <c r="G832" s="167">
        <f t="shared" si="101"/>
        <v>1811272232</v>
      </c>
      <c r="H832" s="172">
        <f t="shared" si="101"/>
        <v>2335</v>
      </c>
      <c r="I832" s="819"/>
      <c r="J832" s="819"/>
      <c r="K832" s="819"/>
    </row>
    <row r="833" spans="1:11" s="555" customFormat="1" ht="17.100000000000001" customHeight="1" x14ac:dyDescent="0.25">
      <c r="A833" s="172">
        <v>13</v>
      </c>
      <c r="B833" s="173" t="s">
        <v>219</v>
      </c>
      <c r="C833" s="167">
        <f t="shared" ref="C833:H833" si="102">C210</f>
        <v>199</v>
      </c>
      <c r="D833" s="552">
        <f t="shared" si="102"/>
        <v>830.20330000000001</v>
      </c>
      <c r="E833" s="170">
        <f t="shared" si="102"/>
        <v>493547</v>
      </c>
      <c r="F833" s="167">
        <f t="shared" si="102"/>
        <v>419514950</v>
      </c>
      <c r="G833" s="167">
        <f t="shared" si="102"/>
        <v>480984809</v>
      </c>
      <c r="H833" s="172">
        <f t="shared" si="102"/>
        <v>2985</v>
      </c>
      <c r="I833" s="819"/>
      <c r="J833" s="819"/>
      <c r="K833" s="819"/>
    </row>
    <row r="834" spans="1:11" s="555" customFormat="1" ht="17.100000000000001" customHeight="1" x14ac:dyDescent="0.25">
      <c r="A834" s="172">
        <v>14</v>
      </c>
      <c r="B834" s="173" t="s">
        <v>220</v>
      </c>
      <c r="C834" s="167">
        <f t="shared" ref="C834:H834" si="103">C227</f>
        <v>440</v>
      </c>
      <c r="D834" s="552">
        <f t="shared" si="103"/>
        <v>1024.23</v>
      </c>
      <c r="E834" s="170">
        <f t="shared" si="103"/>
        <v>1745351.02</v>
      </c>
      <c r="F834" s="167">
        <f t="shared" si="103"/>
        <v>1059993747.4</v>
      </c>
      <c r="G834" s="167">
        <f t="shared" si="103"/>
        <v>138907392</v>
      </c>
      <c r="H834" s="172">
        <f t="shared" si="103"/>
        <v>5015</v>
      </c>
      <c r="I834" s="819"/>
      <c r="J834" s="819"/>
      <c r="K834" s="819"/>
    </row>
    <row r="835" spans="1:11" s="555" customFormat="1" ht="17.100000000000001" customHeight="1" x14ac:dyDescent="0.25">
      <c r="A835" s="172">
        <v>15</v>
      </c>
      <c r="B835" s="173" t="s">
        <v>375</v>
      </c>
      <c r="C835" s="167">
        <f t="shared" ref="C835:H835" si="104">C239</f>
        <v>179</v>
      </c>
      <c r="D835" s="552">
        <f t="shared" si="104"/>
        <v>215.69</v>
      </c>
      <c r="E835" s="167">
        <f t="shared" si="104"/>
        <v>8234120</v>
      </c>
      <c r="F835" s="167">
        <f t="shared" si="104"/>
        <v>1600219257</v>
      </c>
      <c r="G835" s="167">
        <f t="shared" si="104"/>
        <v>478303457</v>
      </c>
      <c r="H835" s="167">
        <f t="shared" si="104"/>
        <v>735</v>
      </c>
      <c r="I835" s="819"/>
      <c r="J835" s="819"/>
      <c r="K835" s="819"/>
    </row>
    <row r="836" spans="1:11" s="555" customFormat="1" ht="17.100000000000001" customHeight="1" x14ac:dyDescent="0.25">
      <c r="A836" s="172">
        <v>16</v>
      </c>
      <c r="B836" s="173" t="s">
        <v>221</v>
      </c>
      <c r="C836" s="167">
        <f t="shared" ref="C836:H836" si="105">C265</f>
        <v>110</v>
      </c>
      <c r="D836" s="552">
        <f t="shared" si="105"/>
        <v>2208.6067000000003</v>
      </c>
      <c r="E836" s="170">
        <f t="shared" si="105"/>
        <v>2982721.9893548386</v>
      </c>
      <c r="F836" s="167">
        <f t="shared" si="105"/>
        <v>1526695171.6129031</v>
      </c>
      <c r="G836" s="167">
        <f t="shared" si="105"/>
        <v>291632743</v>
      </c>
      <c r="H836" s="172">
        <f t="shared" si="105"/>
        <v>487</v>
      </c>
      <c r="I836" s="819"/>
      <c r="J836" s="819"/>
      <c r="K836" s="819"/>
    </row>
    <row r="837" spans="1:11" s="555" customFormat="1" ht="17.100000000000001" customHeight="1" x14ac:dyDescent="0.25">
      <c r="A837" s="172">
        <v>17</v>
      </c>
      <c r="B837" s="556" t="s">
        <v>110</v>
      </c>
      <c r="C837" s="170">
        <f>SUM(C285)</f>
        <v>123</v>
      </c>
      <c r="D837" s="552">
        <f>SUM(D285)</f>
        <v>3355.7358000000004</v>
      </c>
      <c r="E837" s="170">
        <f>SUM(E285)</f>
        <v>5988955</v>
      </c>
      <c r="F837" s="170">
        <f>F285</f>
        <v>792263540</v>
      </c>
      <c r="G837" s="170">
        <f>G285</f>
        <v>262415251</v>
      </c>
      <c r="H837" s="172">
        <f>H285</f>
        <v>903</v>
      </c>
      <c r="I837" s="819"/>
      <c r="J837" s="819"/>
      <c r="K837" s="819"/>
    </row>
    <row r="838" spans="1:11" s="555" customFormat="1" ht="17.100000000000001" customHeight="1" x14ac:dyDescent="0.25">
      <c r="A838" s="172">
        <v>18</v>
      </c>
      <c r="B838" s="173" t="s">
        <v>222</v>
      </c>
      <c r="C838" s="167">
        <f t="shared" ref="C838:H838" si="106">C296</f>
        <v>137</v>
      </c>
      <c r="D838" s="552">
        <f t="shared" si="106"/>
        <v>392.53309999999999</v>
      </c>
      <c r="E838" s="170">
        <f t="shared" si="106"/>
        <v>1420825.3900000001</v>
      </c>
      <c r="F838" s="167">
        <f t="shared" si="106"/>
        <v>631465670</v>
      </c>
      <c r="G838" s="167">
        <f t="shared" si="106"/>
        <v>118828339.7</v>
      </c>
      <c r="H838" s="172">
        <f t="shared" si="106"/>
        <v>1365</v>
      </c>
      <c r="I838" s="819"/>
      <c r="J838" s="819"/>
      <c r="K838" s="819"/>
    </row>
    <row r="839" spans="1:11" s="555" customFormat="1" ht="17.100000000000001" customHeight="1" x14ac:dyDescent="0.25">
      <c r="A839" s="172">
        <v>19</v>
      </c>
      <c r="B839" s="173" t="s">
        <v>153</v>
      </c>
      <c r="C839" s="167">
        <f t="shared" ref="C839:H839" si="107">C310</f>
        <v>171</v>
      </c>
      <c r="D839" s="552">
        <f t="shared" si="107"/>
        <v>579.07999999999993</v>
      </c>
      <c r="E839" s="170">
        <f t="shared" si="107"/>
        <v>1159838.46</v>
      </c>
      <c r="F839" s="167">
        <f t="shared" si="107"/>
        <v>706431408</v>
      </c>
      <c r="G839" s="167">
        <f t="shared" si="107"/>
        <v>223665904</v>
      </c>
      <c r="H839" s="172">
        <f t="shared" si="107"/>
        <v>1650</v>
      </c>
      <c r="I839" s="819"/>
      <c r="J839" s="819"/>
      <c r="K839" s="819"/>
    </row>
    <row r="840" spans="1:11" s="555" customFormat="1" ht="17.100000000000001" customHeight="1" x14ac:dyDescent="0.25">
      <c r="A840" s="172">
        <v>20</v>
      </c>
      <c r="B840" s="173" t="s">
        <v>105</v>
      </c>
      <c r="C840" s="167">
        <f t="shared" ref="C840:H840" si="108">C325</f>
        <v>339</v>
      </c>
      <c r="D840" s="552">
        <f t="shared" si="108"/>
        <v>6228.3654000000006</v>
      </c>
      <c r="E840" s="170">
        <f t="shared" si="108"/>
        <v>4177408.52</v>
      </c>
      <c r="F840" s="167">
        <f t="shared" si="108"/>
        <v>1654678558</v>
      </c>
      <c r="G840" s="167">
        <f t="shared" si="108"/>
        <v>559012018</v>
      </c>
      <c r="H840" s="172">
        <f t="shared" si="108"/>
        <v>2512</v>
      </c>
      <c r="I840" s="819"/>
      <c r="J840" s="819"/>
      <c r="K840" s="819"/>
    </row>
    <row r="841" spans="1:11" s="555" customFormat="1" ht="17.100000000000001" customHeight="1" x14ac:dyDescent="0.25">
      <c r="A841" s="172">
        <v>21</v>
      </c>
      <c r="B841" s="556" t="s">
        <v>117</v>
      </c>
      <c r="C841" s="167">
        <f t="shared" ref="C841:H841" si="109">C335</f>
        <v>80</v>
      </c>
      <c r="D841" s="552">
        <f t="shared" si="109"/>
        <v>280.3</v>
      </c>
      <c r="E841" s="170">
        <f t="shared" si="109"/>
        <v>5102351</v>
      </c>
      <c r="F841" s="170">
        <f t="shared" si="109"/>
        <v>1491180990</v>
      </c>
      <c r="G841" s="170">
        <f t="shared" si="109"/>
        <v>330418070</v>
      </c>
      <c r="H841" s="171">
        <f t="shared" si="109"/>
        <v>3820</v>
      </c>
      <c r="I841" s="819"/>
      <c r="J841" s="819"/>
      <c r="K841" s="819"/>
    </row>
    <row r="842" spans="1:11" s="555" customFormat="1" ht="17.100000000000001" customHeight="1" x14ac:dyDescent="0.25">
      <c r="A842" s="172">
        <v>22</v>
      </c>
      <c r="B842" s="173" t="s">
        <v>154</v>
      </c>
      <c r="C842" s="557">
        <f t="shared" ref="C842:H842" si="110">C356</f>
        <v>481</v>
      </c>
      <c r="D842" s="558">
        <f t="shared" si="110"/>
        <v>2026.9243999999999</v>
      </c>
      <c r="E842" s="177">
        <f t="shared" si="110"/>
        <v>1536767.69</v>
      </c>
      <c r="F842" s="557">
        <f t="shared" si="110"/>
        <v>1043855993.1999998</v>
      </c>
      <c r="G842" s="557">
        <f t="shared" si="110"/>
        <v>654958962</v>
      </c>
      <c r="H842" s="559">
        <f t="shared" si="110"/>
        <v>3785</v>
      </c>
      <c r="I842" s="819"/>
      <c r="J842" s="819"/>
      <c r="K842" s="819"/>
    </row>
    <row r="843" spans="1:11" s="555" customFormat="1" ht="17.100000000000001" customHeight="1" x14ac:dyDescent="0.25">
      <c r="A843" s="172">
        <v>23</v>
      </c>
      <c r="B843" s="173" t="s">
        <v>223</v>
      </c>
      <c r="C843" s="557">
        <f t="shared" ref="C843:H843" si="111">C377</f>
        <v>834</v>
      </c>
      <c r="D843" s="558">
        <f t="shared" si="111"/>
        <v>2128.92</v>
      </c>
      <c r="E843" s="177">
        <f t="shared" si="111"/>
        <v>16431091.630000001</v>
      </c>
      <c r="F843" s="557">
        <f t="shared" si="111"/>
        <v>4178414808</v>
      </c>
      <c r="G843" s="557">
        <f t="shared" si="111"/>
        <v>1107723417.45</v>
      </c>
      <c r="H843" s="559">
        <f t="shared" si="111"/>
        <v>17390</v>
      </c>
      <c r="I843" s="819"/>
      <c r="J843" s="819"/>
      <c r="K843" s="819"/>
    </row>
    <row r="844" spans="1:11" s="555" customFormat="1" ht="17.100000000000001" customHeight="1" x14ac:dyDescent="0.25">
      <c r="A844" s="172">
        <v>24</v>
      </c>
      <c r="B844" s="173" t="s">
        <v>224</v>
      </c>
      <c r="C844" s="560">
        <f t="shared" ref="C844:H844" si="112">C391</f>
        <v>618</v>
      </c>
      <c r="D844" s="561">
        <f t="shared" si="112"/>
        <v>2423.4469999999997</v>
      </c>
      <c r="E844" s="184">
        <f t="shared" si="112"/>
        <v>3274362.37</v>
      </c>
      <c r="F844" s="560">
        <f t="shared" si="112"/>
        <v>2484600126</v>
      </c>
      <c r="G844" s="560">
        <f t="shared" si="112"/>
        <v>563047977</v>
      </c>
      <c r="H844" s="562">
        <f t="shared" si="112"/>
        <v>7081</v>
      </c>
      <c r="I844" s="819"/>
      <c r="J844" s="819"/>
      <c r="K844" s="819"/>
    </row>
    <row r="845" spans="1:11" s="555" customFormat="1" ht="17.100000000000001" customHeight="1" x14ac:dyDescent="0.25">
      <c r="A845" s="172">
        <v>25</v>
      </c>
      <c r="B845" s="173" t="s">
        <v>128</v>
      </c>
      <c r="C845" s="557">
        <f t="shared" ref="C845:H845" si="113">C406</f>
        <v>153</v>
      </c>
      <c r="D845" s="558">
        <f t="shared" si="113"/>
        <v>3265.58</v>
      </c>
      <c r="E845" s="177">
        <f t="shared" si="113"/>
        <v>4518941</v>
      </c>
      <c r="F845" s="557">
        <f t="shared" si="113"/>
        <v>2298418487</v>
      </c>
      <c r="G845" s="557">
        <f t="shared" si="113"/>
        <v>379965763</v>
      </c>
      <c r="H845" s="559">
        <f t="shared" si="113"/>
        <v>1113</v>
      </c>
      <c r="I845" s="819"/>
      <c r="J845" s="819"/>
      <c r="K845" s="819"/>
    </row>
    <row r="846" spans="1:11" s="555" customFormat="1" ht="17.100000000000001" customHeight="1" x14ac:dyDescent="0.25">
      <c r="A846" s="172">
        <v>26</v>
      </c>
      <c r="B846" s="556" t="s">
        <v>84</v>
      </c>
      <c r="C846" s="557">
        <f t="shared" ref="C846:H846" si="114">C425</f>
        <v>439</v>
      </c>
      <c r="D846" s="558">
        <f t="shared" si="114"/>
        <v>912.22250000000008</v>
      </c>
      <c r="E846" s="177">
        <f t="shared" si="114"/>
        <v>20372760</v>
      </c>
      <c r="F846" s="177">
        <f t="shared" si="114"/>
        <v>4924044524</v>
      </c>
      <c r="G846" s="177">
        <f t="shared" si="114"/>
        <v>1178481000</v>
      </c>
      <c r="H846" s="559">
        <f t="shared" si="114"/>
        <v>4295</v>
      </c>
      <c r="I846" s="819"/>
      <c r="J846" s="819"/>
      <c r="K846" s="819"/>
    </row>
    <row r="847" spans="1:11" s="555" customFormat="1" ht="17.100000000000001" customHeight="1" x14ac:dyDescent="0.25">
      <c r="A847" s="172">
        <v>27</v>
      </c>
      <c r="B847" s="173" t="s">
        <v>225</v>
      </c>
      <c r="C847" s="557">
        <f t="shared" ref="C847:H847" si="115">C440</f>
        <v>453</v>
      </c>
      <c r="D847" s="558">
        <f t="shared" si="115"/>
        <v>8989.1899999999987</v>
      </c>
      <c r="E847" s="177">
        <f t="shared" si="115"/>
        <v>13241189</v>
      </c>
      <c r="F847" s="557">
        <f t="shared" si="115"/>
        <v>5291619109</v>
      </c>
      <c r="G847" s="177">
        <f t="shared" si="115"/>
        <v>2236147000</v>
      </c>
      <c r="H847" s="563">
        <f t="shared" si="115"/>
        <v>12308</v>
      </c>
      <c r="I847" s="819"/>
      <c r="J847" s="819"/>
      <c r="K847" s="819"/>
    </row>
    <row r="848" spans="1:11" s="555" customFormat="1" ht="17.100000000000001" customHeight="1" x14ac:dyDescent="0.25">
      <c r="A848" s="172">
        <v>28</v>
      </c>
      <c r="B848" s="173" t="s">
        <v>226</v>
      </c>
      <c r="C848" s="557">
        <f t="shared" ref="C848:H848" si="116">C458</f>
        <v>271</v>
      </c>
      <c r="D848" s="558">
        <f t="shared" si="116"/>
        <v>3620.0499999999997</v>
      </c>
      <c r="E848" s="177">
        <f t="shared" si="116"/>
        <v>1486362</v>
      </c>
      <c r="F848" s="557">
        <f t="shared" si="116"/>
        <v>546721710</v>
      </c>
      <c r="G848" s="557">
        <f t="shared" si="116"/>
        <v>436652501</v>
      </c>
      <c r="H848" s="559">
        <f t="shared" si="116"/>
        <v>369</v>
      </c>
      <c r="I848" s="819"/>
      <c r="J848" s="819"/>
      <c r="K848" s="819"/>
    </row>
    <row r="849" spans="1:11" s="555" customFormat="1" ht="17.100000000000001" customHeight="1" x14ac:dyDescent="0.25">
      <c r="A849" s="172">
        <v>29</v>
      </c>
      <c r="B849" s="173" t="s">
        <v>227</v>
      </c>
      <c r="C849" s="167">
        <f t="shared" ref="C849:H849" si="117">C472</f>
        <v>92</v>
      </c>
      <c r="D849" s="552">
        <f t="shared" si="117"/>
        <v>241.57</v>
      </c>
      <c r="E849" s="170">
        <f t="shared" si="117"/>
        <v>13749304</v>
      </c>
      <c r="F849" s="167">
        <f t="shared" si="117"/>
        <v>888985351</v>
      </c>
      <c r="G849" s="167">
        <f t="shared" si="117"/>
        <v>331071149</v>
      </c>
      <c r="H849" s="172">
        <f t="shared" si="117"/>
        <v>658</v>
      </c>
      <c r="I849" s="819"/>
      <c r="J849" s="819"/>
      <c r="K849" s="819"/>
    </row>
    <row r="850" spans="1:11" s="555" customFormat="1" ht="17.100000000000001" customHeight="1" x14ac:dyDescent="0.25">
      <c r="A850" s="172">
        <v>30</v>
      </c>
      <c r="B850" s="173" t="s">
        <v>88</v>
      </c>
      <c r="C850" s="167">
        <f t="shared" ref="C850:H850" si="118">C495</f>
        <v>334</v>
      </c>
      <c r="D850" s="552">
        <f t="shared" si="118"/>
        <v>2627.31</v>
      </c>
      <c r="E850" s="170">
        <f t="shared" si="118"/>
        <v>11727304</v>
      </c>
      <c r="F850" s="167">
        <f t="shared" si="118"/>
        <v>4782554132</v>
      </c>
      <c r="G850" s="167">
        <f t="shared" si="118"/>
        <v>760486822</v>
      </c>
      <c r="H850" s="172">
        <f t="shared" si="118"/>
        <v>1353</v>
      </c>
      <c r="I850" s="819"/>
      <c r="J850" s="819"/>
      <c r="K850" s="819"/>
    </row>
    <row r="851" spans="1:11" s="555" customFormat="1" ht="17.100000000000001" customHeight="1" x14ac:dyDescent="0.25">
      <c r="A851" s="172">
        <v>31</v>
      </c>
      <c r="B851" s="173" t="s">
        <v>228</v>
      </c>
      <c r="C851" s="167">
        <f t="shared" ref="C851:H851" si="119">C507</f>
        <v>160</v>
      </c>
      <c r="D851" s="552">
        <f t="shared" si="119"/>
        <v>250.78</v>
      </c>
      <c r="E851" s="170">
        <f t="shared" si="119"/>
        <v>1851993</v>
      </c>
      <c r="F851" s="167">
        <f t="shared" si="119"/>
        <v>3045863692</v>
      </c>
      <c r="G851" s="167">
        <f t="shared" si="119"/>
        <v>523026000</v>
      </c>
      <c r="H851" s="172">
        <f t="shared" si="119"/>
        <v>11370</v>
      </c>
      <c r="I851" s="819"/>
      <c r="J851" s="819"/>
      <c r="K851" s="819"/>
    </row>
    <row r="852" spans="1:11" s="555" customFormat="1" ht="17.100000000000001" customHeight="1" x14ac:dyDescent="0.25">
      <c r="A852" s="172">
        <v>32</v>
      </c>
      <c r="B852" s="564" t="s">
        <v>229</v>
      </c>
      <c r="C852" s="167">
        <f t="shared" ref="C852:H852" si="120">C524</f>
        <v>710</v>
      </c>
      <c r="D852" s="552">
        <f t="shared" si="120"/>
        <v>4117.8599999999997</v>
      </c>
      <c r="E852" s="170">
        <f t="shared" si="120"/>
        <v>15835078.41</v>
      </c>
      <c r="F852" s="167">
        <f t="shared" si="120"/>
        <v>5091469048</v>
      </c>
      <c r="G852" s="969">
        <f t="shared" si="120"/>
        <v>1813892687</v>
      </c>
      <c r="H852" s="966">
        <f t="shared" si="120"/>
        <v>2060</v>
      </c>
      <c r="I852" s="819"/>
      <c r="J852" s="819"/>
      <c r="K852" s="819"/>
    </row>
    <row r="853" spans="1:11" s="555" customFormat="1" ht="17.100000000000001" customHeight="1" x14ac:dyDescent="0.25">
      <c r="A853" s="172">
        <v>33</v>
      </c>
      <c r="B853" s="556" t="s">
        <v>89</v>
      </c>
      <c r="C853" s="167">
        <f t="shared" ref="C853:H853" si="121">C542</f>
        <v>441</v>
      </c>
      <c r="D853" s="552">
        <f t="shared" si="121"/>
        <v>872.96</v>
      </c>
      <c r="E853" s="170">
        <f t="shared" si="121"/>
        <v>19455019.719999999</v>
      </c>
      <c r="F853" s="170">
        <f t="shared" si="121"/>
        <v>4727819605.5105352</v>
      </c>
      <c r="G853" s="965">
        <f t="shared" si="121"/>
        <v>887119560</v>
      </c>
      <c r="H853" s="966">
        <f t="shared" si="121"/>
        <v>3720</v>
      </c>
      <c r="I853" s="819"/>
      <c r="J853" s="819"/>
      <c r="K853" s="819"/>
    </row>
    <row r="854" spans="1:11" s="555" customFormat="1" ht="17.100000000000001" customHeight="1" x14ac:dyDescent="0.25">
      <c r="A854" s="172">
        <v>34</v>
      </c>
      <c r="B854" s="173" t="s">
        <v>108</v>
      </c>
      <c r="C854" s="167">
        <f t="shared" ref="C854:H854" si="122">C560</f>
        <v>89</v>
      </c>
      <c r="D854" s="167">
        <f t="shared" si="122"/>
        <v>570.69000000000005</v>
      </c>
      <c r="E854" s="167">
        <f t="shared" si="122"/>
        <v>1688753.44</v>
      </c>
      <c r="F854" s="167">
        <f t="shared" si="122"/>
        <v>827224825.60000002</v>
      </c>
      <c r="G854" s="167">
        <f t="shared" si="122"/>
        <v>292307426</v>
      </c>
      <c r="H854" s="167">
        <f t="shared" si="122"/>
        <v>6640</v>
      </c>
      <c r="I854" s="819"/>
      <c r="J854" s="819"/>
      <c r="K854" s="819"/>
    </row>
    <row r="855" spans="1:11" s="555" customFormat="1" ht="17.100000000000001" customHeight="1" x14ac:dyDescent="0.25">
      <c r="A855" s="172">
        <v>35</v>
      </c>
      <c r="B855" s="173" t="s">
        <v>111</v>
      </c>
      <c r="C855" s="167">
        <f t="shared" ref="C855:H855" si="123">C579</f>
        <v>125</v>
      </c>
      <c r="D855" s="552">
        <f t="shared" si="123"/>
        <v>1739.6599999999999</v>
      </c>
      <c r="E855" s="167">
        <f t="shared" si="123"/>
        <v>2647994</v>
      </c>
      <c r="F855" s="167">
        <f t="shared" si="123"/>
        <v>1387581576</v>
      </c>
      <c r="G855" s="167">
        <f t="shared" si="123"/>
        <v>187863061.30000001</v>
      </c>
      <c r="H855" s="167">
        <f t="shared" si="123"/>
        <v>1230</v>
      </c>
      <c r="I855" s="819"/>
      <c r="J855" s="819"/>
      <c r="K855" s="819"/>
    </row>
    <row r="856" spans="1:11" s="555" customFormat="1" ht="17.100000000000001" customHeight="1" x14ac:dyDescent="0.25">
      <c r="A856" s="172">
        <v>36</v>
      </c>
      <c r="B856" s="173" t="s">
        <v>230</v>
      </c>
      <c r="C856" s="167">
        <f t="shared" ref="C856:H856" si="124">C594</f>
        <v>634</v>
      </c>
      <c r="D856" s="552">
        <f t="shared" si="124"/>
        <v>1199.6899999999998</v>
      </c>
      <c r="E856" s="170">
        <f t="shared" si="124"/>
        <v>11882631</v>
      </c>
      <c r="F856" s="167">
        <f t="shared" si="124"/>
        <v>6305539707</v>
      </c>
      <c r="G856" s="167">
        <f t="shared" si="124"/>
        <v>969490000</v>
      </c>
      <c r="H856" s="172">
        <f t="shared" si="124"/>
        <v>5930</v>
      </c>
      <c r="I856" s="819"/>
      <c r="J856" s="819"/>
      <c r="K856" s="819"/>
    </row>
    <row r="857" spans="1:11" s="555" customFormat="1" ht="17.100000000000001" customHeight="1" x14ac:dyDescent="0.25">
      <c r="A857" s="172">
        <v>37</v>
      </c>
      <c r="B857" s="173" t="s">
        <v>231</v>
      </c>
      <c r="C857" s="167">
        <f t="shared" ref="C857:H857" si="125">C612</f>
        <v>622</v>
      </c>
      <c r="D857" s="552">
        <f t="shared" si="125"/>
        <v>3467.11</v>
      </c>
      <c r="E857" s="170">
        <f t="shared" si="125"/>
        <v>6856979.9090909092</v>
      </c>
      <c r="F857" s="167">
        <f t="shared" si="125"/>
        <v>7860249322.727273</v>
      </c>
      <c r="G857" s="167">
        <f t="shared" si="125"/>
        <v>674063000</v>
      </c>
      <c r="H857" s="172">
        <f t="shared" si="125"/>
        <v>14855</v>
      </c>
      <c r="I857" s="819"/>
      <c r="J857" s="819"/>
      <c r="K857" s="819"/>
    </row>
    <row r="858" spans="1:11" s="555" customFormat="1" ht="17.100000000000001" customHeight="1" x14ac:dyDescent="0.25">
      <c r="A858" s="172">
        <v>38</v>
      </c>
      <c r="B858" s="173" t="s">
        <v>232</v>
      </c>
      <c r="C858" s="167">
        <f t="shared" ref="C858:H858" si="126">C625</f>
        <v>64</v>
      </c>
      <c r="D858" s="552">
        <f t="shared" si="126"/>
        <v>1528.8000000000002</v>
      </c>
      <c r="E858" s="170">
        <f t="shared" si="126"/>
        <v>3358304</v>
      </c>
      <c r="F858" s="167">
        <f t="shared" si="126"/>
        <v>1054128435</v>
      </c>
      <c r="G858" s="167">
        <f t="shared" si="126"/>
        <v>777544863</v>
      </c>
      <c r="H858" s="172">
        <f t="shared" si="126"/>
        <v>275</v>
      </c>
      <c r="I858" s="819"/>
      <c r="J858" s="819"/>
      <c r="K858" s="819"/>
    </row>
    <row r="859" spans="1:11" s="555" customFormat="1" ht="17.100000000000001" customHeight="1" x14ac:dyDescent="0.25">
      <c r="A859" s="172">
        <v>39</v>
      </c>
      <c r="B859" s="173" t="s">
        <v>127</v>
      </c>
      <c r="C859" s="167">
        <f t="shared" ref="C859:H859" si="127">C636</f>
        <v>163</v>
      </c>
      <c r="D859" s="552">
        <f t="shared" si="127"/>
        <v>620.36</v>
      </c>
      <c r="E859" s="170">
        <f t="shared" si="127"/>
        <v>824466</v>
      </c>
      <c r="F859" s="167">
        <f t="shared" si="127"/>
        <v>964719000</v>
      </c>
      <c r="G859" s="167">
        <f t="shared" si="127"/>
        <v>167521781</v>
      </c>
      <c r="H859" s="172">
        <f t="shared" si="127"/>
        <v>2340</v>
      </c>
      <c r="I859" s="819"/>
      <c r="J859" s="819"/>
      <c r="K859" s="819"/>
    </row>
    <row r="860" spans="1:11" s="555" customFormat="1" ht="17.100000000000001" customHeight="1" x14ac:dyDescent="0.25">
      <c r="A860" s="172">
        <v>40</v>
      </c>
      <c r="B860" s="173" t="s">
        <v>459</v>
      </c>
      <c r="C860" s="167">
        <f t="shared" ref="C860:H860" si="128">C651</f>
        <v>261</v>
      </c>
      <c r="D860" s="552">
        <f t="shared" si="128"/>
        <v>2082.3200000000002</v>
      </c>
      <c r="E860" s="167">
        <f t="shared" si="128"/>
        <v>6963788</v>
      </c>
      <c r="F860" s="167">
        <f t="shared" si="128"/>
        <v>1801337794</v>
      </c>
      <c r="G860" s="167">
        <f t="shared" si="128"/>
        <v>311593669</v>
      </c>
      <c r="H860" s="167">
        <f t="shared" si="128"/>
        <v>1405</v>
      </c>
      <c r="I860" s="819"/>
      <c r="J860" s="819"/>
      <c r="K860" s="819"/>
    </row>
    <row r="861" spans="1:11" s="555" customFormat="1" ht="17.100000000000001" customHeight="1" x14ac:dyDescent="0.25">
      <c r="A861" s="172">
        <v>41</v>
      </c>
      <c r="B861" s="556" t="s">
        <v>125</v>
      </c>
      <c r="C861" s="167">
        <f t="shared" ref="C861:H861" si="129">C685</f>
        <v>50</v>
      </c>
      <c r="D861" s="552">
        <f t="shared" si="129"/>
        <v>1225.72</v>
      </c>
      <c r="E861" s="170">
        <f t="shared" si="129"/>
        <v>3609921</v>
      </c>
      <c r="F861" s="170">
        <f t="shared" si="129"/>
        <v>1384953888</v>
      </c>
      <c r="G861" s="170">
        <f t="shared" si="129"/>
        <v>233017111</v>
      </c>
      <c r="H861" s="172">
        <f t="shared" si="129"/>
        <v>1125</v>
      </c>
      <c r="I861" s="819"/>
      <c r="J861" s="819"/>
      <c r="K861" s="819"/>
    </row>
    <row r="862" spans="1:11" s="555" customFormat="1" ht="17.100000000000001" customHeight="1" x14ac:dyDescent="0.25">
      <c r="A862" s="172">
        <v>42</v>
      </c>
      <c r="B862" s="556" t="s">
        <v>376</v>
      </c>
      <c r="C862" s="167">
        <f t="shared" ref="C862:H862" si="130">C701</f>
        <v>484</v>
      </c>
      <c r="D862" s="552">
        <f t="shared" si="130"/>
        <v>3119.07</v>
      </c>
      <c r="E862" s="167">
        <f t="shared" si="130"/>
        <v>3630199.5</v>
      </c>
      <c r="F862" s="167">
        <f t="shared" si="130"/>
        <v>5493516180</v>
      </c>
      <c r="G862" s="167">
        <f t="shared" si="130"/>
        <v>956410478</v>
      </c>
      <c r="H862" s="167">
        <f t="shared" si="130"/>
        <v>3900</v>
      </c>
      <c r="I862" s="819"/>
      <c r="J862" s="819"/>
      <c r="K862" s="819"/>
    </row>
    <row r="863" spans="1:11" s="555" customFormat="1" ht="17.100000000000001" customHeight="1" x14ac:dyDescent="0.25">
      <c r="A863" s="172">
        <v>43</v>
      </c>
      <c r="B863" s="173" t="s">
        <v>233</v>
      </c>
      <c r="C863" s="167">
        <f t="shared" ref="C863:H863" si="131">C724</f>
        <v>227</v>
      </c>
      <c r="D863" s="552">
        <f t="shared" si="131"/>
        <v>1045.3900000000001</v>
      </c>
      <c r="E863" s="170">
        <f t="shared" si="131"/>
        <v>4673715.3487096773</v>
      </c>
      <c r="F863" s="167">
        <f t="shared" si="131"/>
        <v>1312110596.1290321</v>
      </c>
      <c r="G863" s="167">
        <f t="shared" si="131"/>
        <v>417042448</v>
      </c>
      <c r="H863" s="172">
        <f t="shared" si="131"/>
        <v>1090</v>
      </c>
      <c r="I863" s="819"/>
      <c r="J863" s="819"/>
      <c r="K863" s="819"/>
    </row>
    <row r="864" spans="1:11" s="555" customFormat="1" ht="17.100000000000001" customHeight="1" x14ac:dyDescent="0.25">
      <c r="A864" s="172">
        <v>44</v>
      </c>
      <c r="B864" s="173" t="s">
        <v>234</v>
      </c>
      <c r="C864" s="167">
        <f t="shared" ref="C864:H864" si="132">C742</f>
        <v>441</v>
      </c>
      <c r="D864" s="552">
        <f t="shared" si="132"/>
        <v>3391.56</v>
      </c>
      <c r="E864" s="170">
        <f t="shared" si="132"/>
        <v>3722891</v>
      </c>
      <c r="F864" s="167">
        <f t="shared" si="132"/>
        <v>3757049442</v>
      </c>
      <c r="G864" s="167">
        <f t="shared" si="132"/>
        <v>628030635</v>
      </c>
      <c r="H864" s="172">
        <f t="shared" si="132"/>
        <v>5082</v>
      </c>
      <c r="I864" s="819"/>
      <c r="J864" s="819"/>
      <c r="K864" s="819"/>
    </row>
    <row r="865" spans="1:11" s="555" customFormat="1" ht="17.100000000000001" customHeight="1" x14ac:dyDescent="0.25">
      <c r="A865" s="172">
        <v>45</v>
      </c>
      <c r="B865" s="173" t="s">
        <v>235</v>
      </c>
      <c r="C865" s="167">
        <f t="shared" ref="C865:H865" si="133">C761</f>
        <v>592</v>
      </c>
      <c r="D865" s="552">
        <f t="shared" si="133"/>
        <v>23244.559999999998</v>
      </c>
      <c r="E865" s="170">
        <f t="shared" si="133"/>
        <v>11236868</v>
      </c>
      <c r="F865" s="167">
        <f t="shared" si="133"/>
        <v>5662735121</v>
      </c>
      <c r="G865" s="167">
        <f t="shared" si="133"/>
        <v>1405648419</v>
      </c>
      <c r="H865" s="172">
        <f t="shared" si="133"/>
        <v>4600</v>
      </c>
      <c r="I865" s="819"/>
      <c r="J865" s="819"/>
      <c r="K865" s="819"/>
    </row>
    <row r="866" spans="1:11" s="555" customFormat="1" ht="17.100000000000001" customHeight="1" x14ac:dyDescent="0.25">
      <c r="A866" s="172">
        <v>46</v>
      </c>
      <c r="B866" s="173" t="s">
        <v>99</v>
      </c>
      <c r="C866" s="167">
        <f t="shared" ref="C866:H866" si="134">C668</f>
        <v>94</v>
      </c>
      <c r="D866" s="552">
        <f t="shared" si="134"/>
        <v>1024.08</v>
      </c>
      <c r="E866" s="170">
        <f t="shared" si="134"/>
        <v>607231</v>
      </c>
      <c r="F866" s="167">
        <f t="shared" si="134"/>
        <v>530517115</v>
      </c>
      <c r="G866" s="167">
        <f t="shared" si="134"/>
        <v>93712963</v>
      </c>
      <c r="H866" s="172">
        <f t="shared" si="134"/>
        <v>530</v>
      </c>
      <c r="I866" s="819"/>
      <c r="J866" s="819"/>
      <c r="K866" s="819"/>
    </row>
    <row r="867" spans="1:11" s="555" customFormat="1" ht="17.100000000000001" customHeight="1" x14ac:dyDescent="0.25">
      <c r="A867" s="172">
        <v>47</v>
      </c>
      <c r="B867" s="173" t="s">
        <v>175</v>
      </c>
      <c r="C867" s="167">
        <f t="shared" ref="C867:H867" si="135">C770</f>
        <v>8</v>
      </c>
      <c r="D867" s="552">
        <f t="shared" si="135"/>
        <v>670.38</v>
      </c>
      <c r="E867" s="170">
        <f t="shared" si="135"/>
        <v>4775508</v>
      </c>
      <c r="F867" s="167">
        <f t="shared" si="135"/>
        <v>1770381645</v>
      </c>
      <c r="G867" s="167">
        <f t="shared" si="135"/>
        <v>321699463</v>
      </c>
      <c r="H867" s="172">
        <f t="shared" si="135"/>
        <v>490</v>
      </c>
      <c r="I867" s="819"/>
      <c r="J867" s="819"/>
      <c r="K867" s="819"/>
    </row>
    <row r="868" spans="1:11" s="555" customFormat="1" ht="17.100000000000001" customHeight="1" x14ac:dyDescent="0.25">
      <c r="A868" s="172">
        <v>48</v>
      </c>
      <c r="B868" s="173" t="s">
        <v>116</v>
      </c>
      <c r="C868" s="557">
        <f t="shared" ref="C868:H868" si="136">C787</f>
        <v>369</v>
      </c>
      <c r="D868" s="558">
        <f t="shared" si="136"/>
        <v>4923.3700000000008</v>
      </c>
      <c r="E868" s="177">
        <f t="shared" si="136"/>
        <v>10078375</v>
      </c>
      <c r="F868" s="557">
        <f t="shared" si="136"/>
        <v>7102223846</v>
      </c>
      <c r="G868" s="557">
        <f t="shared" si="136"/>
        <v>807956559</v>
      </c>
      <c r="H868" s="559">
        <f t="shared" si="136"/>
        <v>2480</v>
      </c>
      <c r="I868" s="819"/>
      <c r="J868" s="819"/>
      <c r="K868" s="819"/>
    </row>
    <row r="869" spans="1:11" s="555" customFormat="1" ht="17.100000000000001" customHeight="1" x14ac:dyDescent="0.25">
      <c r="A869" s="172">
        <v>49</v>
      </c>
      <c r="B869" s="173" t="s">
        <v>236</v>
      </c>
      <c r="C869" s="560">
        <f>C813</f>
        <v>506</v>
      </c>
      <c r="D869" s="561">
        <f t="shared" ref="D869:H869" si="137">D813</f>
        <v>20028.39</v>
      </c>
      <c r="E869" s="184">
        <f t="shared" si="137"/>
        <v>6636673</v>
      </c>
      <c r="F869" s="560">
        <f t="shared" si="137"/>
        <v>3009462211.6846294</v>
      </c>
      <c r="G869" s="560">
        <f t="shared" si="137"/>
        <v>896714281</v>
      </c>
      <c r="H869" s="562">
        <f t="shared" si="137"/>
        <v>2893</v>
      </c>
      <c r="I869" s="819"/>
      <c r="J869" s="819"/>
      <c r="K869" s="819"/>
    </row>
    <row r="870" spans="1:11" ht="17.100000000000001" customHeight="1" x14ac:dyDescent="0.25">
      <c r="A870" s="1191" t="s">
        <v>237</v>
      </c>
      <c r="B870" s="1192"/>
      <c r="C870" s="553">
        <f t="shared" ref="C870:H870" si="138">SUM(C821:C869)</f>
        <v>17005</v>
      </c>
      <c r="D870" s="554">
        <f>SUM(D821:D869)</f>
        <v>163194.47180000006</v>
      </c>
      <c r="E870" s="553">
        <f>SUM(E821:E869)</f>
        <v>327988551.84341395</v>
      </c>
      <c r="F870" s="553">
        <f>SUM(F821:F869)</f>
        <v>149017982266.48264</v>
      </c>
      <c r="G870" s="554">
        <f>SUM(G821:G869)</f>
        <v>33881752900.049999</v>
      </c>
      <c r="H870" s="553">
        <f t="shared" si="138"/>
        <v>217138</v>
      </c>
      <c r="I870" s="819"/>
      <c r="J870" s="819"/>
      <c r="K870" s="819"/>
    </row>
    <row r="871" spans="1:11" ht="15.75" x14ac:dyDescent="0.25">
      <c r="A871" s="138"/>
      <c r="C871" s="65"/>
      <c r="D871" s="139"/>
      <c r="E871" s="139"/>
      <c r="F871" s="127"/>
      <c r="G871" s="127"/>
      <c r="H871" s="67"/>
    </row>
    <row r="872" spans="1:11" ht="15.75" x14ac:dyDescent="0.25">
      <c r="A872" s="138"/>
      <c r="B872" s="65"/>
      <c r="C872" s="65"/>
      <c r="D872" s="139"/>
      <c r="E872" s="139"/>
      <c r="F872" s="127"/>
      <c r="G872" s="127"/>
      <c r="H872" s="67"/>
    </row>
    <row r="873" spans="1:11" ht="15.75" x14ac:dyDescent="0.25">
      <c r="A873" s="141"/>
      <c r="B873" s="15" t="s">
        <v>238</v>
      </c>
      <c r="C873" s="20">
        <f>'Minor Minerals'!C804</f>
        <v>17005</v>
      </c>
      <c r="D873" s="20">
        <f>'Minor Minerals'!D804</f>
        <v>163194.4718</v>
      </c>
      <c r="E873" s="20">
        <f>'Minor Minerals'!E804</f>
        <v>327988551.84341395</v>
      </c>
      <c r="F873" s="20">
        <f>'Minor Minerals'!F804</f>
        <v>149017982266.48264</v>
      </c>
      <c r="G873" s="20">
        <f>'Minor Minerals'!G804</f>
        <v>33881752900.050003</v>
      </c>
      <c r="H873" s="20">
        <f>'Minor Minerals'!H804</f>
        <v>217138</v>
      </c>
    </row>
    <row r="874" spans="1:11" ht="15.75" x14ac:dyDescent="0.25">
      <c r="A874" s="141"/>
      <c r="B874" s="14"/>
      <c r="C874" s="20">
        <f>C870-C873</f>
        <v>0</v>
      </c>
      <c r="D874" s="20">
        <f t="shared" ref="D874:H874" si="139">D870-D873</f>
        <v>0</v>
      </c>
      <c r="E874" s="20">
        <f>E870-E873</f>
        <v>0</v>
      </c>
      <c r="F874" s="20">
        <f t="shared" si="139"/>
        <v>0</v>
      </c>
      <c r="G874" s="20">
        <f t="shared" si="139"/>
        <v>0</v>
      </c>
      <c r="H874" s="20">
        <f t="shared" si="139"/>
        <v>0</v>
      </c>
    </row>
    <row r="877" spans="1:11" ht="20.25" x14ac:dyDescent="0.3">
      <c r="C877" s="702">
        <f>C870+'Office Major'!C271</f>
        <v>17153</v>
      </c>
      <c r="D877" s="702">
        <f>D870+'Office Major'!D271</f>
        <v>215155.49140000006</v>
      </c>
      <c r="E877" s="702">
        <f>E870+'Office Major'!E271</f>
        <v>449801989.44841397</v>
      </c>
      <c r="F877" s="702">
        <f>F870+'Office Major'!F271</f>
        <v>363470461749.48267</v>
      </c>
      <c r="G877" s="702">
        <f>G870+'Office Major'!G271</f>
        <v>73337490772.050003</v>
      </c>
      <c r="H877" s="702">
        <f>H870+'Office Major'!H271</f>
        <v>255175</v>
      </c>
    </row>
    <row r="879" spans="1:11" x14ac:dyDescent="0.25">
      <c r="G879" s="118">
        <f>G880-G877</f>
        <v>1262509227.9499969</v>
      </c>
    </row>
    <row r="880" spans="1:11" x14ac:dyDescent="0.25">
      <c r="G880" s="120">
        <v>74600000000</v>
      </c>
    </row>
  </sheetData>
  <mergeCells count="258">
    <mergeCell ref="I6:I7"/>
    <mergeCell ref="K6:K7"/>
    <mergeCell ref="C819:C820"/>
    <mergeCell ref="A772:H772"/>
    <mergeCell ref="A628:A629"/>
    <mergeCell ref="C628:C629"/>
    <mergeCell ref="A527:A528"/>
    <mergeCell ref="C527:C528"/>
    <mergeCell ref="A545:A546"/>
    <mergeCell ref="C545:C546"/>
    <mergeCell ref="A789:H789"/>
    <mergeCell ref="A815:H815"/>
    <mergeCell ref="A816:H816"/>
    <mergeCell ref="A817:H817"/>
    <mergeCell ref="A745:A746"/>
    <mergeCell ref="C745:C746"/>
    <mergeCell ref="B563:B564"/>
    <mergeCell ref="A579:B579"/>
    <mergeCell ref="C299:C300"/>
    <mergeCell ref="A213:A214"/>
    <mergeCell ref="C213:C214"/>
    <mergeCell ref="B582:B583"/>
    <mergeCell ref="A594:B594"/>
    <mergeCell ref="B597:B598"/>
    <mergeCell ref="A40:A41"/>
    <mergeCell ref="B40:B41"/>
    <mergeCell ref="C40:C41"/>
    <mergeCell ref="A89:A90"/>
    <mergeCell ref="B89:B90"/>
    <mergeCell ref="C89:C90"/>
    <mergeCell ref="B639:B640"/>
    <mergeCell ref="A651:B651"/>
    <mergeCell ref="B654:B655"/>
    <mergeCell ref="A612:B612"/>
    <mergeCell ref="B615:B616"/>
    <mergeCell ref="A625:B625"/>
    <mergeCell ref="A581:H581"/>
    <mergeCell ref="C582:C583"/>
    <mergeCell ref="A636:B636"/>
    <mergeCell ref="A204:H204"/>
    <mergeCell ref="A166:A167"/>
    <mergeCell ref="B166:B167"/>
    <mergeCell ref="C166:C167"/>
    <mergeCell ref="A163:B163"/>
    <mergeCell ref="A187:B187"/>
    <mergeCell ref="A202:B202"/>
    <mergeCell ref="A210:B210"/>
    <mergeCell ref="A165:H165"/>
    <mergeCell ref="A1:H1"/>
    <mergeCell ref="A2:H2"/>
    <mergeCell ref="A3:H3"/>
    <mergeCell ref="A6:A7"/>
    <mergeCell ref="B6:B7"/>
    <mergeCell ref="C6:C7"/>
    <mergeCell ref="A5:H5"/>
    <mergeCell ref="A22:H22"/>
    <mergeCell ref="A39:H39"/>
    <mergeCell ref="A20:B20"/>
    <mergeCell ref="A37:B37"/>
    <mergeCell ref="A23:A24"/>
    <mergeCell ref="B23:B24"/>
    <mergeCell ref="C23:C24"/>
    <mergeCell ref="B190:B191"/>
    <mergeCell ref="A189:H189"/>
    <mergeCell ref="A190:A191"/>
    <mergeCell ref="C190:C191"/>
    <mergeCell ref="A205:A206"/>
    <mergeCell ref="C205:C206"/>
    <mergeCell ref="C394:C395"/>
    <mergeCell ref="A409:A410"/>
    <mergeCell ref="C409:C410"/>
    <mergeCell ref="A393:H393"/>
    <mergeCell ref="A394:A395"/>
    <mergeCell ref="A212:H212"/>
    <mergeCell ref="A227:B227"/>
    <mergeCell ref="A243:A244"/>
    <mergeCell ref="C243:C244"/>
    <mergeCell ref="A268:H268"/>
    <mergeCell ref="A242:H242"/>
    <mergeCell ref="A269:A270"/>
    <mergeCell ref="C269:C270"/>
    <mergeCell ref="A288:A289"/>
    <mergeCell ref="C288:C289"/>
    <mergeCell ref="B380:B381"/>
    <mergeCell ref="B394:B395"/>
    <mergeCell ref="A391:B391"/>
    <mergeCell ref="A298:H298"/>
    <mergeCell ref="A287:H287"/>
    <mergeCell ref="A475:A476"/>
    <mergeCell ref="A458:B458"/>
    <mergeCell ref="A472:B472"/>
    <mergeCell ref="B475:B476"/>
    <mergeCell ref="B461:B462"/>
    <mergeCell ref="B443:B444"/>
    <mergeCell ref="A427:H427"/>
    <mergeCell ref="A442:H442"/>
    <mergeCell ref="A428:A429"/>
    <mergeCell ref="C428:C429"/>
    <mergeCell ref="A443:A444"/>
    <mergeCell ref="C443:C444"/>
    <mergeCell ref="C359:C360"/>
    <mergeCell ref="A379:H379"/>
    <mergeCell ref="A337:H337"/>
    <mergeCell ref="A406:B406"/>
    <mergeCell ref="A425:B425"/>
    <mergeCell ref="A440:B440"/>
    <mergeCell ref="B338:B339"/>
    <mergeCell ref="B359:B360"/>
    <mergeCell ref="B428:B429"/>
    <mergeCell ref="A313:A314"/>
    <mergeCell ref="A55:B55"/>
    <mergeCell ref="A69:B69"/>
    <mergeCell ref="A85:B85"/>
    <mergeCell ref="A98:B98"/>
    <mergeCell ref="A118:B118"/>
    <mergeCell ref="A136:B136"/>
    <mergeCell ref="A152:B152"/>
    <mergeCell ref="A58:A59"/>
    <mergeCell ref="B58:B59"/>
    <mergeCell ref="A57:H57"/>
    <mergeCell ref="A71:H71"/>
    <mergeCell ref="A88:H88"/>
    <mergeCell ref="A101:H101"/>
    <mergeCell ref="A120:H120"/>
    <mergeCell ref="C58:C59"/>
    <mergeCell ref="A72:A73"/>
    <mergeCell ref="E137:G137"/>
    <mergeCell ref="A154:H154"/>
    <mergeCell ref="C313:C314"/>
    <mergeCell ref="A312:H312"/>
    <mergeCell ref="A139:H139"/>
    <mergeCell ref="A155:A156"/>
    <mergeCell ref="B72:B73"/>
    <mergeCell ref="A140:A141"/>
    <mergeCell ref="B140:B141"/>
    <mergeCell ref="C140:C141"/>
    <mergeCell ref="C72:C73"/>
    <mergeCell ref="A121:A122"/>
    <mergeCell ref="B121:B122"/>
    <mergeCell ref="C121:C122"/>
    <mergeCell ref="B155:B156"/>
    <mergeCell ref="C155:C156"/>
    <mergeCell ref="A102:A103"/>
    <mergeCell ref="B102:B103"/>
    <mergeCell ref="C102:C103"/>
    <mergeCell ref="B205:B206"/>
    <mergeCell ref="B213:B214"/>
    <mergeCell ref="B230:B231"/>
    <mergeCell ref="B243:B244"/>
    <mergeCell ref="B269:B270"/>
    <mergeCell ref="B288:B289"/>
    <mergeCell ref="B705:B706"/>
    <mergeCell ref="B545:B546"/>
    <mergeCell ref="A560:B560"/>
    <mergeCell ref="A497:H497"/>
    <mergeCell ref="A460:H460"/>
    <mergeCell ref="A408:H408"/>
    <mergeCell ref="A495:B495"/>
    <mergeCell ref="A507:B507"/>
    <mergeCell ref="B498:B499"/>
    <mergeCell ref="B510:B511"/>
    <mergeCell ref="A524:B524"/>
    <mergeCell ref="B527:B528"/>
    <mergeCell ref="A542:B542"/>
    <mergeCell ref="A509:H509"/>
    <mergeCell ref="C498:C499"/>
    <mergeCell ref="A510:A511"/>
    <mergeCell ref="C510:C511"/>
    <mergeCell ref="A461:A462"/>
    <mergeCell ref="C461:C462"/>
    <mergeCell ref="B409:B410"/>
    <mergeCell ref="C475:C476"/>
    <mergeCell ref="A474:H474"/>
    <mergeCell ref="A380:A381"/>
    <mergeCell ref="C380:C381"/>
    <mergeCell ref="A328:A329"/>
    <mergeCell ref="C328:C329"/>
    <mergeCell ref="A338:A339"/>
    <mergeCell ref="C338:C339"/>
    <mergeCell ref="A327:H327"/>
    <mergeCell ref="A325:B325"/>
    <mergeCell ref="A335:B335"/>
    <mergeCell ref="A356:B356"/>
    <mergeCell ref="A377:B377"/>
    <mergeCell ref="A358:H358"/>
    <mergeCell ref="A359:A360"/>
    <mergeCell ref="A229:H229"/>
    <mergeCell ref="C230:C231"/>
    <mergeCell ref="A230:A231"/>
    <mergeCell ref="A310:B310"/>
    <mergeCell ref="A299:A300"/>
    <mergeCell ref="B728:B729"/>
    <mergeCell ref="B745:B746"/>
    <mergeCell ref="A704:H704"/>
    <mergeCell ref="C654:C655"/>
    <mergeCell ref="A562:H562"/>
    <mergeCell ref="A526:H526"/>
    <mergeCell ref="A544:H544"/>
    <mergeCell ref="A498:A499"/>
    <mergeCell ref="C672:C673"/>
    <mergeCell ref="A668:B668"/>
    <mergeCell ref="B672:B673"/>
    <mergeCell ref="A654:A655"/>
    <mergeCell ref="B299:B300"/>
    <mergeCell ref="B313:B314"/>
    <mergeCell ref="B328:B329"/>
    <mergeCell ref="A239:B239"/>
    <mergeCell ref="A265:B265"/>
    <mergeCell ref="A285:B285"/>
    <mergeCell ref="A296:B296"/>
    <mergeCell ref="A870:B870"/>
    <mergeCell ref="A597:A598"/>
    <mergeCell ref="C597:C598"/>
    <mergeCell ref="A615:A616"/>
    <mergeCell ref="C615:C616"/>
    <mergeCell ref="A563:A564"/>
    <mergeCell ref="C563:C564"/>
    <mergeCell ref="A653:H653"/>
    <mergeCell ref="A672:A673"/>
    <mergeCell ref="A639:A640"/>
    <mergeCell ref="C639:C640"/>
    <mergeCell ref="A582:A583"/>
    <mergeCell ref="B628:B629"/>
    <mergeCell ref="A627:H627"/>
    <mergeCell ref="A614:H614"/>
    <mergeCell ref="A596:H596"/>
    <mergeCell ref="A671:H671"/>
    <mergeCell ref="A688:H688"/>
    <mergeCell ref="A685:B685"/>
    <mergeCell ref="B689:B690"/>
    <mergeCell ref="A701:B701"/>
    <mergeCell ref="A638:H638"/>
    <mergeCell ref="A689:A690"/>
    <mergeCell ref="C689:C690"/>
    <mergeCell ref="A787:B787"/>
    <mergeCell ref="B790:B791"/>
    <mergeCell ref="B819:B820"/>
    <mergeCell ref="A770:B770"/>
    <mergeCell ref="B773:B774"/>
    <mergeCell ref="A763:H763"/>
    <mergeCell ref="A744:H744"/>
    <mergeCell ref="A705:A706"/>
    <mergeCell ref="A813:B813"/>
    <mergeCell ref="A819:A820"/>
    <mergeCell ref="A790:A791"/>
    <mergeCell ref="C790:C791"/>
    <mergeCell ref="A764:A765"/>
    <mergeCell ref="C764:C765"/>
    <mergeCell ref="A773:A774"/>
    <mergeCell ref="C773:C774"/>
    <mergeCell ref="A728:A729"/>
    <mergeCell ref="C728:C729"/>
    <mergeCell ref="A742:B742"/>
    <mergeCell ref="A761:B761"/>
    <mergeCell ref="B764:B765"/>
    <mergeCell ref="A724:B724"/>
    <mergeCell ref="A727:H727"/>
    <mergeCell ref="C705:C706"/>
  </mergeCells>
  <pageMargins left="0.7" right="0.7" top="0.75" bottom="0.75" header="0.3" footer="0.3"/>
  <pageSetup scale="66" orientation="portrait" r:id="rId1"/>
  <rowBreaks count="3" manualBreakCount="3">
    <brk id="580" max="7" man="1"/>
    <brk id="743" max="7" man="1"/>
    <brk id="814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9"/>
  <sheetViews>
    <sheetView topLeftCell="A85" zoomScale="110" zoomScaleNormal="110" workbookViewId="0">
      <selection activeCell="I228" sqref="I228"/>
    </sheetView>
  </sheetViews>
  <sheetFormatPr defaultColWidth="9.140625" defaultRowHeight="15" x14ac:dyDescent="0.25"/>
  <cols>
    <col min="1" max="1" width="6.5703125" style="123" customWidth="1"/>
    <col min="2" max="2" width="18" style="123" customWidth="1"/>
    <col min="3" max="3" width="9.42578125" style="123" customWidth="1"/>
    <col min="4" max="4" width="18.85546875" style="123" customWidth="1"/>
    <col min="5" max="5" width="16.28515625" style="123" customWidth="1"/>
    <col min="6" max="6" width="18.28515625" style="123" customWidth="1"/>
    <col min="7" max="7" width="15.85546875" style="123" customWidth="1"/>
    <col min="8" max="8" width="14.7109375" style="123" customWidth="1"/>
    <col min="9" max="9" width="17.5703125" style="123" customWidth="1"/>
    <col min="10" max="10" width="13.28515625" style="123" customWidth="1"/>
    <col min="11" max="11" width="12.5703125" style="123" bestFit="1" customWidth="1"/>
    <col min="12" max="15" width="9.140625" style="123"/>
    <col min="16" max="16" width="9.85546875" style="123" bestFit="1" customWidth="1"/>
    <col min="17" max="16384" width="9.140625" style="123"/>
  </cols>
  <sheetData>
    <row r="1" spans="1:17" ht="30.75" x14ac:dyDescent="0.25">
      <c r="A1" s="1240" t="s">
        <v>0</v>
      </c>
      <c r="B1" s="1240"/>
      <c r="C1" s="1240"/>
      <c r="D1" s="1240"/>
      <c r="E1" s="1240"/>
      <c r="F1" s="1240"/>
      <c r="G1" s="1240"/>
      <c r="H1" s="1240"/>
    </row>
    <row r="2" spans="1:17" ht="25.5" x14ac:dyDescent="0.25">
      <c r="A2" s="1241" t="s">
        <v>239</v>
      </c>
      <c r="B2" s="1241"/>
      <c r="C2" s="1241"/>
      <c r="D2" s="1241"/>
      <c r="E2" s="1241"/>
      <c r="F2" s="1241"/>
      <c r="G2" s="1241"/>
      <c r="H2" s="1241"/>
    </row>
    <row r="3" spans="1:17" ht="22.5" x14ac:dyDescent="0.25">
      <c r="A3" s="1242" t="str">
        <f>'Office Minor'!A3:H3</f>
        <v>Financial Year 2023-24</v>
      </c>
      <c r="B3" s="1242"/>
      <c r="C3" s="1242"/>
      <c r="D3" s="1242"/>
      <c r="E3" s="1242"/>
      <c r="F3" s="1242"/>
      <c r="G3" s="1242"/>
      <c r="H3" s="1242"/>
    </row>
    <row r="4" spans="1:17" x14ac:dyDescent="0.25">
      <c r="A4" s="146"/>
      <c r="B4" s="146"/>
      <c r="C4" s="146"/>
      <c r="D4" s="146"/>
      <c r="E4" s="146"/>
      <c r="F4" s="146"/>
      <c r="G4" s="146"/>
      <c r="H4" s="146"/>
    </row>
    <row r="5" spans="1:17" ht="20.25" customHeight="1" x14ac:dyDescent="0.3">
      <c r="A5" s="1243" t="s">
        <v>240</v>
      </c>
      <c r="B5" s="1243"/>
      <c r="C5" s="1243"/>
      <c r="D5" s="1243"/>
      <c r="E5" s="1243"/>
      <c r="F5" s="1243"/>
      <c r="G5" s="1243"/>
      <c r="H5" s="1243"/>
    </row>
    <row r="6" spans="1:17" s="393" customFormat="1" ht="17.100000000000001" customHeight="1" x14ac:dyDescent="0.25">
      <c r="A6" s="1223" t="s">
        <v>2</v>
      </c>
      <c r="B6" s="1225" t="s">
        <v>3</v>
      </c>
      <c r="C6" s="1225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</row>
    <row r="7" spans="1:17" s="393" customFormat="1" ht="17.100000000000001" customHeight="1" x14ac:dyDescent="0.25">
      <c r="A7" s="1229"/>
      <c r="B7" s="1230"/>
      <c r="C7" s="1245"/>
      <c r="D7" s="75" t="s">
        <v>78</v>
      </c>
      <c r="E7" s="75" t="s">
        <v>79</v>
      </c>
      <c r="F7" s="817" t="s">
        <v>80</v>
      </c>
      <c r="G7" s="817" t="s">
        <v>80</v>
      </c>
      <c r="H7" s="75" t="s">
        <v>13</v>
      </c>
    </row>
    <row r="8" spans="1:17" s="393" customFormat="1" ht="17.100000000000001" customHeight="1" x14ac:dyDescent="0.25">
      <c r="A8" s="63">
        <v>1</v>
      </c>
      <c r="B8" s="273" t="s">
        <v>48</v>
      </c>
      <c r="C8" s="818">
        <f>'Office Major'!C14+'Office Major'!C192+'Office Major'!C47</f>
        <v>9</v>
      </c>
      <c r="D8" s="818">
        <f>'Office Major'!D14+'Office Major'!D192+'Office Major'!D47</f>
        <v>87.3</v>
      </c>
      <c r="E8" s="818">
        <f>'Office Major'!E14+'Office Major'!E192+'Office Major'!E47</f>
        <v>11240</v>
      </c>
      <c r="F8" s="818">
        <f>'Office Major'!F14+'Office Major'!F192+'Office Major'!F47</f>
        <v>20232000</v>
      </c>
      <c r="G8" s="818">
        <f>'Office Major'!G14+'Office Major'!G192+'Office Major'!G47</f>
        <v>1506280</v>
      </c>
      <c r="H8" s="818">
        <f>'Office Major'!H14+'Office Major'!H192+'Office Major'!H47</f>
        <v>6</v>
      </c>
    </row>
    <row r="9" spans="1:17" s="393" customFormat="1" ht="17.100000000000001" customHeight="1" x14ac:dyDescent="0.25">
      <c r="A9" s="63">
        <v>2</v>
      </c>
      <c r="B9" s="274" t="str">
        <f>'Office Major'!B15</f>
        <v>Beryl</v>
      </c>
      <c r="C9" s="797">
        <f>'Office Major'!C15</f>
        <v>2</v>
      </c>
      <c r="D9" s="797">
        <f>'Office Major'!D15</f>
        <v>9.8000000000000007</v>
      </c>
      <c r="E9" s="797">
        <f>'Office Major'!E15</f>
        <v>0</v>
      </c>
      <c r="F9" s="797">
        <f>'Office Major'!F15</f>
        <v>0</v>
      </c>
      <c r="G9" s="797">
        <f>'Office Major'!G15</f>
        <v>0</v>
      </c>
      <c r="H9" s="797">
        <f>'Office Major'!H15</f>
        <v>0</v>
      </c>
      <c r="I9" s="816"/>
      <c r="L9" s="809"/>
      <c r="M9" s="809"/>
      <c r="N9" s="809"/>
      <c r="O9" s="809"/>
      <c r="P9" s="810"/>
      <c r="Q9" s="809"/>
    </row>
    <row r="10" spans="1:17" s="393" customFormat="1" ht="17.100000000000001" customHeight="1" x14ac:dyDescent="0.25">
      <c r="A10" s="63">
        <v>3</v>
      </c>
      <c r="B10" s="274" t="str">
        <f>'Office Major'!B16</f>
        <v>Emeral Crude</v>
      </c>
      <c r="C10" s="274">
        <f>'Office Major'!C16</f>
        <v>1</v>
      </c>
      <c r="D10" s="274">
        <f>'Office Major'!D16</f>
        <v>46.32</v>
      </c>
      <c r="E10" s="274">
        <f>'Office Major'!E16</f>
        <v>0</v>
      </c>
      <c r="F10" s="274">
        <f>'Office Major'!F16</f>
        <v>0</v>
      </c>
      <c r="G10" s="274">
        <f>'Office Major'!G16</f>
        <v>370560</v>
      </c>
      <c r="H10" s="274">
        <f>'Office Major'!H16</f>
        <v>0</v>
      </c>
    </row>
    <row r="11" spans="1:17" s="393" customFormat="1" ht="17.100000000000001" customHeight="1" x14ac:dyDescent="0.25">
      <c r="A11" s="63">
        <v>4</v>
      </c>
      <c r="B11" s="274" t="s">
        <v>36</v>
      </c>
      <c r="C11" s="316">
        <f>'Office Major'!C17+'Office Major'!C48</f>
        <v>0</v>
      </c>
      <c r="D11" s="316">
        <f>'Office Major'!D17+'Office Major'!D48</f>
        <v>0</v>
      </c>
      <c r="E11" s="316">
        <f>'Office Major'!E17+'Office Major'!E48</f>
        <v>0</v>
      </c>
      <c r="F11" s="316">
        <f>'Office Major'!F17+'Office Major'!F48</f>
        <v>0</v>
      </c>
      <c r="G11" s="316">
        <f>'Office Major'!G17+'Office Major'!G48</f>
        <v>0</v>
      </c>
      <c r="H11" s="316">
        <f>'Office Major'!H17+'Office Major'!H48</f>
        <v>0</v>
      </c>
    </row>
    <row r="12" spans="1:17" s="393" customFormat="1" ht="17.100000000000001" customHeight="1" x14ac:dyDescent="0.25">
      <c r="A12" s="63">
        <v>5</v>
      </c>
      <c r="B12" s="274" t="s">
        <v>160</v>
      </c>
      <c r="C12" s="316">
        <f>'Office Major'!C18</f>
        <v>1</v>
      </c>
      <c r="D12" s="316">
        <f>'Office Major'!D18</f>
        <v>480.45</v>
      </c>
      <c r="E12" s="316">
        <f>'Office Major'!E18</f>
        <v>564113</v>
      </c>
      <c r="F12" s="316">
        <f>'Office Major'!F18</f>
        <v>9025808000</v>
      </c>
      <c r="G12" s="316">
        <f>'Office Major'!G18</f>
        <v>781402433</v>
      </c>
      <c r="H12" s="316">
        <f>'Office Major'!H18</f>
        <v>456</v>
      </c>
    </row>
    <row r="13" spans="1:17" s="393" customFormat="1" ht="17.100000000000001" customHeight="1" x14ac:dyDescent="0.25">
      <c r="A13" s="63">
        <v>6</v>
      </c>
      <c r="B13" s="274" t="s">
        <v>30</v>
      </c>
      <c r="C13" s="316">
        <f>'Office Major'!C19+'Office Major'!C191</f>
        <v>4</v>
      </c>
      <c r="D13" s="316">
        <f>'Office Major'!D19+'Office Major'!D191</f>
        <v>19</v>
      </c>
      <c r="E13" s="316">
        <f>'Office Major'!E19+'Office Major'!E191</f>
        <v>0</v>
      </c>
      <c r="F13" s="316">
        <f>'Office Major'!F19+'Office Major'!F191</f>
        <v>0</v>
      </c>
      <c r="G13" s="316">
        <f>'Office Major'!G19+'Office Major'!G191</f>
        <v>0</v>
      </c>
      <c r="H13" s="316">
        <f>'Office Major'!H19+'Office Major'!H191</f>
        <v>0</v>
      </c>
    </row>
    <row r="14" spans="1:17" s="393" customFormat="1" ht="17.100000000000001" customHeight="1" x14ac:dyDescent="0.25">
      <c r="A14" s="63">
        <v>7</v>
      </c>
      <c r="B14" s="274" t="s">
        <v>47</v>
      </c>
      <c r="C14" s="316">
        <f>'Office Major'!C20+'Office Major'!C49</f>
        <v>1</v>
      </c>
      <c r="D14" s="316">
        <f>'Office Major'!D20+'Office Major'!D49</f>
        <v>4.3099999999999996</v>
      </c>
      <c r="E14" s="316">
        <f>'Office Major'!E20+'Office Major'!E49</f>
        <v>0</v>
      </c>
      <c r="F14" s="316">
        <f>'Office Major'!F20+'Office Major'!F49</f>
        <v>0</v>
      </c>
      <c r="G14" s="316">
        <f>'Office Major'!G20+'Office Major'!G49</f>
        <v>67620</v>
      </c>
      <c r="H14" s="316">
        <f>'Office Major'!H20+'Office Major'!H49</f>
        <v>0</v>
      </c>
    </row>
    <row r="15" spans="1:17" s="393" customFormat="1" ht="17.100000000000001" customHeight="1" x14ac:dyDescent="0.25">
      <c r="A15" s="63">
        <v>8</v>
      </c>
      <c r="B15" s="317" t="s">
        <v>35</v>
      </c>
      <c r="C15" s="316">
        <f>'Office Major'!C50</f>
        <v>2</v>
      </c>
      <c r="D15" s="316">
        <f>'Office Major'!D50</f>
        <v>1304.83</v>
      </c>
      <c r="E15" s="316">
        <f>'Office Major'!E50</f>
        <v>2882595</v>
      </c>
      <c r="F15" s="316">
        <f>'Office Major'!F50</f>
        <v>2161946138</v>
      </c>
      <c r="G15" s="316">
        <f>'Office Major'!G50</f>
        <v>230607588</v>
      </c>
      <c r="H15" s="316">
        <f>'Office Major'!H50</f>
        <v>118</v>
      </c>
    </row>
    <row r="16" spans="1:17" s="393" customFormat="1" ht="17.100000000000001" customHeight="1" x14ac:dyDescent="0.25">
      <c r="A16" s="276"/>
      <c r="B16" s="643" t="s">
        <v>458</v>
      </c>
      <c r="C16" s="316"/>
      <c r="D16" s="316"/>
      <c r="E16" s="316"/>
      <c r="F16" s="316"/>
      <c r="G16" s="316">
        <f>'Office Major'!G193</f>
        <v>0</v>
      </c>
      <c r="H16" s="316"/>
    </row>
    <row r="17" spans="1:11" s="393" customFormat="1" ht="17.100000000000001" customHeight="1" x14ac:dyDescent="0.25">
      <c r="A17" s="1231" t="s">
        <v>158</v>
      </c>
      <c r="B17" s="1232"/>
      <c r="C17" s="497">
        <f>SUM(C8:C16)</f>
        <v>20</v>
      </c>
      <c r="D17" s="497">
        <f t="shared" ref="D17:H17" si="0">SUM(D8:D16)</f>
        <v>1952.0099999999998</v>
      </c>
      <c r="E17" s="497">
        <f t="shared" si="0"/>
        <v>3457948</v>
      </c>
      <c r="F17" s="497">
        <f t="shared" si="0"/>
        <v>11207986138</v>
      </c>
      <c r="G17" s="497">
        <f t="shared" si="0"/>
        <v>1013954481</v>
      </c>
      <c r="H17" s="497">
        <f t="shared" si="0"/>
        <v>580</v>
      </c>
      <c r="K17" s="394"/>
    </row>
    <row r="18" spans="1:11" s="393" customFormat="1" ht="17.100000000000001" customHeight="1" x14ac:dyDescent="0.25">
      <c r="A18" s="237"/>
      <c r="B18" s="500"/>
      <c r="C18" s="501"/>
      <c r="D18" s="502"/>
      <c r="E18" s="503"/>
      <c r="F18" s="503"/>
      <c r="G18" s="503"/>
      <c r="H18" s="504"/>
      <c r="K18" s="394"/>
    </row>
    <row r="19" spans="1:11" s="393" customFormat="1" ht="17.100000000000001" customHeight="1" x14ac:dyDescent="0.25">
      <c r="A19" s="1244" t="s">
        <v>241</v>
      </c>
      <c r="B19" s="1244"/>
      <c r="C19" s="1244"/>
      <c r="D19" s="1244"/>
      <c r="E19" s="1244"/>
      <c r="F19" s="1244"/>
      <c r="G19" s="1244"/>
      <c r="H19" s="1244"/>
      <c r="K19" s="394"/>
    </row>
    <row r="20" spans="1:11" s="393" customFormat="1" ht="17.100000000000001" customHeight="1" x14ac:dyDescent="0.25">
      <c r="A20" s="1246" t="s">
        <v>2</v>
      </c>
      <c r="B20" s="1235" t="s">
        <v>3</v>
      </c>
      <c r="C20" s="1235" t="s">
        <v>4</v>
      </c>
      <c r="D20" s="70" t="s">
        <v>5</v>
      </c>
      <c r="E20" s="70" t="s">
        <v>6</v>
      </c>
      <c r="F20" s="70" t="s">
        <v>7</v>
      </c>
      <c r="G20" s="70" t="s">
        <v>8</v>
      </c>
      <c r="H20" s="70" t="s">
        <v>9</v>
      </c>
      <c r="K20" s="394"/>
    </row>
    <row r="21" spans="1:11" s="393" customFormat="1" ht="17.100000000000001" customHeight="1" x14ac:dyDescent="0.25">
      <c r="A21" s="1247"/>
      <c r="B21" s="1236"/>
      <c r="C21" s="1236"/>
      <c r="D21" s="71" t="s">
        <v>78</v>
      </c>
      <c r="E21" s="71" t="s">
        <v>79</v>
      </c>
      <c r="F21" s="496" t="s">
        <v>80</v>
      </c>
      <c r="G21" s="496" t="s">
        <v>80</v>
      </c>
      <c r="H21" s="71" t="s">
        <v>13</v>
      </c>
      <c r="K21" s="394"/>
    </row>
    <row r="22" spans="1:11" s="393" customFormat="1" ht="17.100000000000001" customHeight="1" x14ac:dyDescent="0.25">
      <c r="A22" s="63">
        <v>1</v>
      </c>
      <c r="B22" s="274" t="s">
        <v>17</v>
      </c>
      <c r="C22" s="318">
        <v>0</v>
      </c>
      <c r="D22" s="318">
        <v>0</v>
      </c>
      <c r="E22" s="318">
        <v>0</v>
      </c>
      <c r="F22" s="318">
        <v>0</v>
      </c>
      <c r="G22" s="318">
        <v>0</v>
      </c>
      <c r="H22" s="318">
        <v>0</v>
      </c>
      <c r="K22" s="394"/>
    </row>
    <row r="23" spans="1:11" s="393" customFormat="1" ht="17.100000000000001" customHeight="1" x14ac:dyDescent="0.25">
      <c r="A23" s="63">
        <v>2</v>
      </c>
      <c r="B23" s="274" t="s">
        <v>35</v>
      </c>
      <c r="C23" s="318">
        <v>0</v>
      </c>
      <c r="D23" s="318">
        <v>0</v>
      </c>
      <c r="E23" s="318">
        <v>0</v>
      </c>
      <c r="F23" s="318">
        <v>0</v>
      </c>
      <c r="G23" s="318">
        <v>0</v>
      </c>
      <c r="H23" s="318">
        <v>0</v>
      </c>
      <c r="K23" s="394"/>
    </row>
    <row r="24" spans="1:11" s="393" customFormat="1" ht="17.100000000000001" customHeight="1" x14ac:dyDescent="0.25">
      <c r="A24" s="1248" t="s">
        <v>158</v>
      </c>
      <c r="B24" s="1249"/>
      <c r="C24" s="505">
        <f t="shared" ref="C24:H24" si="1">SUM(C22:C23)</f>
        <v>0</v>
      </c>
      <c r="D24" s="505">
        <f t="shared" si="1"/>
        <v>0</v>
      </c>
      <c r="E24" s="505">
        <f t="shared" si="1"/>
        <v>0</v>
      </c>
      <c r="F24" s="505">
        <f t="shared" si="1"/>
        <v>0</v>
      </c>
      <c r="G24" s="505">
        <f t="shared" si="1"/>
        <v>0</v>
      </c>
      <c r="H24" s="505">
        <f t="shared" si="1"/>
        <v>0</v>
      </c>
      <c r="K24" s="394"/>
    </row>
    <row r="25" spans="1:11" s="393" customFormat="1" ht="17.100000000000001" customHeight="1" x14ac:dyDescent="0.25">
      <c r="A25" s="237"/>
      <c r="B25" s="500"/>
      <c r="C25" s="501"/>
      <c r="D25" s="502"/>
      <c r="E25" s="503"/>
      <c r="F25" s="503"/>
      <c r="G25" s="503"/>
      <c r="H25" s="504"/>
      <c r="K25" s="394"/>
    </row>
    <row r="26" spans="1:11" s="393" customFormat="1" ht="17.100000000000001" customHeight="1" x14ac:dyDescent="0.25">
      <c r="A26" s="1233" t="s">
        <v>242</v>
      </c>
      <c r="B26" s="1233"/>
      <c r="C26" s="1233"/>
      <c r="D26" s="1233"/>
      <c r="E26" s="1233"/>
      <c r="F26" s="1233"/>
      <c r="G26" s="1233"/>
      <c r="H26" s="1233"/>
      <c r="K26" s="394"/>
    </row>
    <row r="27" spans="1:11" s="393" customFormat="1" ht="17.100000000000001" customHeight="1" x14ac:dyDescent="0.25">
      <c r="A27" s="1246" t="s">
        <v>2</v>
      </c>
      <c r="B27" s="1235" t="s">
        <v>3</v>
      </c>
      <c r="C27" s="1235" t="s">
        <v>4</v>
      </c>
      <c r="D27" s="70" t="s">
        <v>5</v>
      </c>
      <c r="E27" s="70" t="s">
        <v>6</v>
      </c>
      <c r="F27" s="70" t="s">
        <v>7</v>
      </c>
      <c r="G27" s="70" t="s">
        <v>8</v>
      </c>
      <c r="H27" s="70" t="s">
        <v>9</v>
      </c>
      <c r="K27" s="394"/>
    </row>
    <row r="28" spans="1:11" s="393" customFormat="1" ht="17.100000000000001" customHeight="1" x14ac:dyDescent="0.25">
      <c r="A28" s="1247"/>
      <c r="B28" s="1236"/>
      <c r="C28" s="1236"/>
      <c r="D28" s="71" t="s">
        <v>78</v>
      </c>
      <c r="E28" s="71" t="s">
        <v>79</v>
      </c>
      <c r="F28" s="496" t="s">
        <v>80</v>
      </c>
      <c r="G28" s="496" t="s">
        <v>80</v>
      </c>
      <c r="H28" s="71" t="s">
        <v>13</v>
      </c>
      <c r="K28" s="394"/>
    </row>
    <row r="29" spans="1:11" s="393" customFormat="1" ht="17.100000000000001" customHeight="1" x14ac:dyDescent="0.25">
      <c r="A29" s="319">
        <v>1</v>
      </c>
      <c r="B29" s="317" t="s">
        <v>21</v>
      </c>
      <c r="C29" s="316">
        <f>'Office Major'!C32</f>
        <v>1</v>
      </c>
      <c r="D29" s="316">
        <f>'Office Major'!D32</f>
        <v>18.898</v>
      </c>
      <c r="E29" s="316">
        <f>'Office Major'!E32</f>
        <v>997.58</v>
      </c>
      <c r="F29" s="316">
        <f>'Office Major'!F32</f>
        <v>3491530</v>
      </c>
      <c r="G29" s="316">
        <f>'Office Major'!G32</f>
        <v>276000</v>
      </c>
      <c r="H29" s="316">
        <f>'Office Major'!H32</f>
        <v>20</v>
      </c>
      <c r="K29" s="394"/>
    </row>
    <row r="30" spans="1:11" s="393" customFormat="1" ht="17.100000000000001" customHeight="1" x14ac:dyDescent="0.25">
      <c r="A30" s="319">
        <v>2</v>
      </c>
      <c r="B30" s="317" t="s">
        <v>35</v>
      </c>
      <c r="C30" s="316">
        <f>'Office Major'!C33</f>
        <v>1</v>
      </c>
      <c r="D30" s="316">
        <f>'Office Major'!D33</f>
        <v>65.819999999999993</v>
      </c>
      <c r="E30" s="316">
        <f>'Office Major'!E33</f>
        <v>1347996.7</v>
      </c>
      <c r="F30" s="316">
        <f>'Office Major'!F33</f>
        <v>876197835</v>
      </c>
      <c r="G30" s="316">
        <f>'Office Major'!G33</f>
        <v>107990640</v>
      </c>
      <c r="H30" s="316">
        <f>'Office Major'!H33</f>
        <v>125</v>
      </c>
      <c r="K30" s="394"/>
    </row>
    <row r="31" spans="1:11" s="393" customFormat="1" ht="17.100000000000001" customHeight="1" x14ac:dyDescent="0.25">
      <c r="A31" s="1231" t="s">
        <v>158</v>
      </c>
      <c r="B31" s="1232"/>
      <c r="C31" s="497">
        <f t="shared" ref="C31:H31" si="2">SUM(C29:C30)</f>
        <v>2</v>
      </c>
      <c r="D31" s="497">
        <f t="shared" si="2"/>
        <v>84.717999999999989</v>
      </c>
      <c r="E31" s="497">
        <f t="shared" si="2"/>
        <v>1348994.28</v>
      </c>
      <c r="F31" s="497">
        <f t="shared" si="2"/>
        <v>879689365</v>
      </c>
      <c r="G31" s="497">
        <f t="shared" si="2"/>
        <v>108266640</v>
      </c>
      <c r="H31" s="497">
        <f t="shared" si="2"/>
        <v>145</v>
      </c>
      <c r="K31" s="394"/>
    </row>
    <row r="32" spans="1:11" s="393" customFormat="1" ht="17.100000000000001" customHeight="1" x14ac:dyDescent="0.25">
      <c r="A32" s="237"/>
      <c r="B32" s="501"/>
      <c r="C32" s="506"/>
      <c r="D32" s="507"/>
      <c r="E32" s="508"/>
      <c r="F32" s="508"/>
      <c r="G32" s="508"/>
      <c r="H32" s="506"/>
      <c r="K32" s="394"/>
    </row>
    <row r="33" spans="1:11" s="393" customFormat="1" ht="17.100000000000001" customHeight="1" x14ac:dyDescent="0.25">
      <c r="A33" s="1233" t="s">
        <v>243</v>
      </c>
      <c r="B33" s="1233"/>
      <c r="C33" s="1233"/>
      <c r="D33" s="1233"/>
      <c r="E33" s="1233"/>
      <c r="F33" s="1233"/>
      <c r="G33" s="1233"/>
      <c r="H33" s="1233"/>
      <c r="K33" s="394"/>
    </row>
    <row r="34" spans="1:11" s="393" customFormat="1" ht="17.100000000000001" customHeight="1" x14ac:dyDescent="0.25">
      <c r="A34" s="1223" t="s">
        <v>2</v>
      </c>
      <c r="B34" s="1225" t="s">
        <v>3</v>
      </c>
      <c r="C34" s="1225" t="s">
        <v>4</v>
      </c>
      <c r="D34" s="68" t="s">
        <v>5</v>
      </c>
      <c r="E34" s="68" t="s">
        <v>6</v>
      </c>
      <c r="F34" s="68" t="s">
        <v>7</v>
      </c>
      <c r="G34" s="68" t="s">
        <v>8</v>
      </c>
      <c r="H34" s="68" t="s">
        <v>9</v>
      </c>
      <c r="K34" s="394"/>
    </row>
    <row r="35" spans="1:11" s="393" customFormat="1" ht="17.100000000000001" customHeight="1" x14ac:dyDescent="0.25">
      <c r="A35" s="1229"/>
      <c r="B35" s="1230"/>
      <c r="C35" s="1230"/>
      <c r="D35" s="69" t="s">
        <v>78</v>
      </c>
      <c r="E35" s="69" t="s">
        <v>79</v>
      </c>
      <c r="F35" s="496" t="s">
        <v>80</v>
      </c>
      <c r="G35" s="496" t="s">
        <v>80</v>
      </c>
      <c r="H35" s="69" t="s">
        <v>13</v>
      </c>
      <c r="K35" s="394"/>
    </row>
    <row r="36" spans="1:11" s="393" customFormat="1" ht="17.100000000000001" customHeight="1" x14ac:dyDescent="0.25">
      <c r="A36" s="145">
        <v>1</v>
      </c>
      <c r="B36" s="274" t="s">
        <v>34</v>
      </c>
      <c r="C36" s="316">
        <f>'Office Major'!C39</f>
        <v>4</v>
      </c>
      <c r="D36" s="316">
        <f>'Office Major'!D39</f>
        <v>11358.14</v>
      </c>
      <c r="E36" s="316">
        <f>'Office Major'!E39</f>
        <v>7285551.5800000001</v>
      </c>
      <c r="F36" s="316">
        <f>'Office Major'!F39</f>
        <v>16756768634</v>
      </c>
      <c r="G36" s="316">
        <f>'Office Major'!G39</f>
        <v>1133159442</v>
      </c>
      <c r="H36" s="316">
        <f>'Office Major'!H39</f>
        <v>95</v>
      </c>
      <c r="K36" s="394"/>
    </row>
    <row r="37" spans="1:11" s="393" customFormat="1" ht="17.100000000000001" customHeight="1" x14ac:dyDescent="0.25">
      <c r="A37" s="145">
        <v>2</v>
      </c>
      <c r="B37" s="274" t="s">
        <v>163</v>
      </c>
      <c r="C37" s="316">
        <f>'Office Major'!C40</f>
        <v>8</v>
      </c>
      <c r="D37" s="316">
        <f>'Office Major'!D40</f>
        <v>82.98</v>
      </c>
      <c r="E37" s="316">
        <f>'Office Major'!E40</f>
        <v>27676</v>
      </c>
      <c r="F37" s="316">
        <f>'Office Major'!F40</f>
        <v>20756977</v>
      </c>
      <c r="G37" s="316">
        <f>'Office Major'!G40</f>
        <v>2523034</v>
      </c>
      <c r="H37" s="316">
        <f>'Office Major'!H40</f>
        <v>24</v>
      </c>
      <c r="K37" s="394"/>
    </row>
    <row r="38" spans="1:11" s="393" customFormat="1" ht="17.100000000000001" customHeight="1" x14ac:dyDescent="0.25">
      <c r="A38" s="145">
        <v>3</v>
      </c>
      <c r="B38" s="274" t="s">
        <v>43</v>
      </c>
      <c r="C38" s="316">
        <f>'Office Major'!C41</f>
        <v>3</v>
      </c>
      <c r="D38" s="316">
        <f>'Office Major'!D41</f>
        <v>480.35</v>
      </c>
      <c r="E38" s="316">
        <f>'Office Major'!E41</f>
        <v>10671</v>
      </c>
      <c r="F38" s="316">
        <f>'Office Major'!F41</f>
        <v>18675090</v>
      </c>
      <c r="G38" s="316">
        <f>'Office Major'!G41</f>
        <v>1812550</v>
      </c>
      <c r="H38" s="316">
        <f>'Office Major'!H41</f>
        <v>25</v>
      </c>
      <c r="K38" s="394"/>
    </row>
    <row r="39" spans="1:11" s="393" customFormat="1" ht="17.100000000000001" customHeight="1" x14ac:dyDescent="0.25">
      <c r="A39" s="1231" t="s">
        <v>158</v>
      </c>
      <c r="B39" s="1232"/>
      <c r="C39" s="499">
        <f t="shared" ref="C39:H39" si="3">SUM(C36:C38)</f>
        <v>15</v>
      </c>
      <c r="D39" s="499">
        <f t="shared" si="3"/>
        <v>11921.47</v>
      </c>
      <c r="E39" s="499">
        <f t="shared" si="3"/>
        <v>7323898.5800000001</v>
      </c>
      <c r="F39" s="499">
        <f t="shared" si="3"/>
        <v>16796200701</v>
      </c>
      <c r="G39" s="499">
        <f t="shared" si="3"/>
        <v>1137495026</v>
      </c>
      <c r="H39" s="499">
        <f t="shared" si="3"/>
        <v>144</v>
      </c>
      <c r="K39" s="394"/>
    </row>
    <row r="40" spans="1:11" s="393" customFormat="1" ht="17.100000000000001" customHeight="1" x14ac:dyDescent="0.25">
      <c r="A40" s="237"/>
      <c r="B40" s="509"/>
      <c r="C40" s="510"/>
      <c r="D40" s="506"/>
      <c r="E40" s="508"/>
      <c r="F40" s="508"/>
      <c r="G40" s="508"/>
      <c r="H40" s="506"/>
      <c r="K40" s="394"/>
    </row>
    <row r="41" spans="1:11" s="393" customFormat="1" ht="17.100000000000001" customHeight="1" x14ac:dyDescent="0.25">
      <c r="A41" s="237"/>
      <c r="B41" s="500"/>
      <c r="C41" s="501"/>
      <c r="D41" s="502"/>
      <c r="E41" s="503"/>
      <c r="F41" s="503"/>
      <c r="G41" s="503"/>
      <c r="H41" s="504"/>
      <c r="K41" s="394"/>
    </row>
    <row r="42" spans="1:11" s="393" customFormat="1" ht="17.100000000000001" customHeight="1" x14ac:dyDescent="0.25">
      <c r="A42" s="1239" t="s">
        <v>245</v>
      </c>
      <c r="B42" s="1239"/>
      <c r="C42" s="1239"/>
      <c r="D42" s="1239"/>
      <c r="E42" s="1239"/>
      <c r="F42" s="1239"/>
      <c r="G42" s="1239"/>
      <c r="H42" s="1239"/>
      <c r="K42" s="394"/>
    </row>
    <row r="43" spans="1:11" s="393" customFormat="1" ht="17.100000000000001" customHeight="1" x14ac:dyDescent="0.25">
      <c r="A43" s="1223" t="s">
        <v>2</v>
      </c>
      <c r="B43" s="1225" t="s">
        <v>3</v>
      </c>
      <c r="C43" s="1225" t="s">
        <v>4</v>
      </c>
      <c r="D43" s="72" t="s">
        <v>5</v>
      </c>
      <c r="E43" s="72" t="s">
        <v>6</v>
      </c>
      <c r="F43" s="72" t="s">
        <v>7</v>
      </c>
      <c r="G43" s="72" t="s">
        <v>8</v>
      </c>
      <c r="H43" s="72" t="s">
        <v>9</v>
      </c>
      <c r="K43" s="394"/>
    </row>
    <row r="44" spans="1:11" s="393" customFormat="1" ht="17.100000000000001" customHeight="1" x14ac:dyDescent="0.25">
      <c r="A44" s="1229"/>
      <c r="B44" s="1230"/>
      <c r="C44" s="1230"/>
      <c r="D44" s="73" t="s">
        <v>78</v>
      </c>
      <c r="E44" s="73" t="s">
        <v>79</v>
      </c>
      <c r="F44" s="73" t="s">
        <v>80</v>
      </c>
      <c r="G44" s="73" t="s">
        <v>80</v>
      </c>
      <c r="H44" s="73" t="s">
        <v>13</v>
      </c>
      <c r="K44" s="394"/>
    </row>
    <row r="45" spans="1:11" s="393" customFormat="1" ht="17.100000000000001" customHeight="1" x14ac:dyDescent="0.25">
      <c r="A45" s="679">
        <v>1</v>
      </c>
      <c r="B45" s="659" t="s">
        <v>465</v>
      </c>
      <c r="C45" s="660">
        <f>'Office Major'!C56</f>
        <v>0</v>
      </c>
      <c r="D45" s="660">
        <f>'Office Major'!D56</f>
        <v>0</v>
      </c>
      <c r="E45" s="660">
        <f>'Office Major'!E56</f>
        <v>0</v>
      </c>
      <c r="F45" s="660">
        <f>'Office Major'!F56</f>
        <v>0</v>
      </c>
      <c r="G45" s="660">
        <f>'Office Major'!G56</f>
        <v>0</v>
      </c>
      <c r="H45" s="660">
        <f>'Office Major'!H56</f>
        <v>0</v>
      </c>
      <c r="K45" s="394"/>
    </row>
    <row r="46" spans="1:11" s="393" customFormat="1" ht="17.100000000000001" customHeight="1" x14ac:dyDescent="0.25">
      <c r="A46" s="63">
        <v>2</v>
      </c>
      <c r="B46" s="274" t="s">
        <v>33</v>
      </c>
      <c r="C46" s="320">
        <f>'Office Major'!C57</f>
        <v>3</v>
      </c>
      <c r="D46" s="320">
        <f>'Office Major'!D57</f>
        <v>154</v>
      </c>
      <c r="E46" s="320">
        <f>'Office Major'!E57</f>
        <v>0</v>
      </c>
      <c r="F46" s="320">
        <f>'Office Major'!F57</f>
        <v>0</v>
      </c>
      <c r="G46" s="320">
        <f>'Office Major'!G57</f>
        <v>0</v>
      </c>
      <c r="H46" s="320">
        <f>'Office Major'!H57</f>
        <v>0</v>
      </c>
      <c r="K46" s="394"/>
    </row>
    <row r="47" spans="1:11" s="393" customFormat="1" ht="17.100000000000001" customHeight="1" x14ac:dyDescent="0.25">
      <c r="A47" s="679">
        <v>3</v>
      </c>
      <c r="B47" s="274" t="s">
        <v>381</v>
      </c>
      <c r="C47" s="320">
        <f>'Office Major'!C58</f>
        <v>1</v>
      </c>
      <c r="D47" s="320">
        <f>'Office Major'!D58</f>
        <v>1200</v>
      </c>
      <c r="E47" s="320">
        <f>'Office Major'!E58</f>
        <v>1207479</v>
      </c>
      <c r="F47" s="320">
        <f>'Office Major'!F58</f>
        <v>24149580000</v>
      </c>
      <c r="G47" s="320">
        <f>'Office Major'!G58</f>
        <v>12385092400</v>
      </c>
      <c r="H47" s="320">
        <f>'Office Major'!H58</f>
        <v>3600</v>
      </c>
      <c r="K47" s="394"/>
    </row>
    <row r="48" spans="1:11" s="393" customFormat="1" ht="17.100000000000001" customHeight="1" x14ac:dyDescent="0.25">
      <c r="A48" s="63">
        <v>6</v>
      </c>
      <c r="B48" s="274" t="s">
        <v>20</v>
      </c>
      <c r="C48" s="320">
        <f>'Office Major'!C61</f>
        <v>0</v>
      </c>
      <c r="D48" s="320">
        <f>'Office Major'!D61</f>
        <v>0</v>
      </c>
      <c r="E48" s="320">
        <f>'Office Major'!E61</f>
        <v>0</v>
      </c>
      <c r="F48" s="320">
        <f>'Office Major'!F61</f>
        <v>0</v>
      </c>
      <c r="G48" s="320">
        <f>'Office Major'!G61</f>
        <v>0</v>
      </c>
      <c r="H48" s="320">
        <f>'Office Major'!H61</f>
        <v>0</v>
      </c>
      <c r="K48" s="394"/>
    </row>
    <row r="49" spans="1:11" s="393" customFormat="1" ht="17.100000000000001" customHeight="1" x14ac:dyDescent="0.25">
      <c r="A49" s="679">
        <v>7</v>
      </c>
      <c r="B49" s="274" t="s">
        <v>15</v>
      </c>
      <c r="C49" s="320">
        <f>'Office Major'!C62</f>
        <v>0</v>
      </c>
      <c r="D49" s="320">
        <f>'Office Major'!D62</f>
        <v>0</v>
      </c>
      <c r="E49" s="320">
        <f>'Office Major'!E62</f>
        <v>0</v>
      </c>
      <c r="F49" s="320">
        <f>'Office Major'!F62</f>
        <v>0</v>
      </c>
      <c r="G49" s="320">
        <f>'Office Major'!G62</f>
        <v>0</v>
      </c>
      <c r="H49" s="320">
        <f>'Office Major'!H62</f>
        <v>0</v>
      </c>
      <c r="K49" s="394"/>
    </row>
    <row r="50" spans="1:11" s="393" customFormat="1" ht="17.100000000000001" customHeight="1" x14ac:dyDescent="0.25">
      <c r="A50" s="63">
        <v>8</v>
      </c>
      <c r="B50" s="274" t="s">
        <v>30</v>
      </c>
      <c r="C50" s="320">
        <f>'Office Major'!C63</f>
        <v>5</v>
      </c>
      <c r="D50" s="320">
        <f>'Office Major'!D63</f>
        <v>20.736999999999998</v>
      </c>
      <c r="E50" s="320">
        <f>'Office Major'!E63</f>
        <v>17104</v>
      </c>
      <c r="F50" s="320">
        <f>'Office Major'!F63</f>
        <v>71838522</v>
      </c>
      <c r="G50" s="320">
        <f>'Office Major'!G63</f>
        <v>2703770</v>
      </c>
      <c r="H50" s="320">
        <f>'Office Major'!H63</f>
        <v>40</v>
      </c>
      <c r="K50" s="394"/>
    </row>
    <row r="51" spans="1:11" s="393" customFormat="1" ht="17.100000000000001" customHeight="1" x14ac:dyDescent="0.25">
      <c r="A51" s="679">
        <v>9</v>
      </c>
      <c r="B51" s="274" t="s">
        <v>17</v>
      </c>
      <c r="C51" s="320">
        <f>'Office Major'!C64</f>
        <v>2</v>
      </c>
      <c r="D51" s="320">
        <f>'Office Major'!D64</f>
        <v>1989.885</v>
      </c>
      <c r="E51" s="320">
        <f>'Office Major'!E64</f>
        <v>3343749</v>
      </c>
      <c r="F51" s="320">
        <f>'Office Major'!F64</f>
        <v>15715624013</v>
      </c>
      <c r="G51" s="320">
        <f>'Office Major'!G64</f>
        <v>1020000000</v>
      </c>
      <c r="H51" s="320">
        <f>'Office Major'!H64</f>
        <v>1100</v>
      </c>
      <c r="K51" s="394"/>
    </row>
    <row r="52" spans="1:11" s="393" customFormat="1" ht="17.100000000000001" customHeight="1" x14ac:dyDescent="0.25">
      <c r="A52" s="1221" t="s">
        <v>158</v>
      </c>
      <c r="B52" s="1222"/>
      <c r="C52" s="511">
        <f>SUM(C45:C51)</f>
        <v>11</v>
      </c>
      <c r="D52" s="511">
        <f t="shared" ref="D52:H52" si="4">SUM(D45:D51)</f>
        <v>3364.6220000000003</v>
      </c>
      <c r="E52" s="511">
        <f t="shared" si="4"/>
        <v>4568332</v>
      </c>
      <c r="F52" s="511">
        <f t="shared" si="4"/>
        <v>39937042535</v>
      </c>
      <c r="G52" s="511">
        <f t="shared" si="4"/>
        <v>13407796170</v>
      </c>
      <c r="H52" s="511">
        <f t="shared" si="4"/>
        <v>4740</v>
      </c>
      <c r="K52" s="394"/>
    </row>
    <row r="53" spans="1:11" s="393" customFormat="1" ht="17.100000000000001" customHeight="1" x14ac:dyDescent="0.25">
      <c r="A53" s="513"/>
      <c r="B53" s="513"/>
      <c r="C53" s="513"/>
      <c r="D53" s="513"/>
      <c r="E53" s="513"/>
      <c r="F53" s="513"/>
      <c r="G53" s="513"/>
      <c r="H53" s="513"/>
      <c r="K53" s="394"/>
    </row>
    <row r="54" spans="1:11" s="393" customFormat="1" ht="17.100000000000001" customHeight="1" x14ac:dyDescent="0.25">
      <c r="A54" s="1233" t="s">
        <v>246</v>
      </c>
      <c r="B54" s="1233"/>
      <c r="C54" s="1233"/>
      <c r="D54" s="1233"/>
      <c r="E54" s="1233"/>
      <c r="F54" s="1233"/>
      <c r="G54" s="1233"/>
      <c r="H54" s="1233"/>
      <c r="K54" s="394"/>
    </row>
    <row r="55" spans="1:11" s="393" customFormat="1" ht="17.100000000000001" customHeight="1" x14ac:dyDescent="0.25">
      <c r="A55" s="1223" t="s">
        <v>2</v>
      </c>
      <c r="B55" s="1225" t="s">
        <v>3</v>
      </c>
      <c r="C55" s="1225" t="s">
        <v>4</v>
      </c>
      <c r="D55" s="72" t="s">
        <v>5</v>
      </c>
      <c r="E55" s="72" t="s">
        <v>6</v>
      </c>
      <c r="F55" s="72" t="s">
        <v>7</v>
      </c>
      <c r="G55" s="72" t="s">
        <v>8</v>
      </c>
      <c r="H55" s="72" t="s">
        <v>9</v>
      </c>
      <c r="K55" s="394"/>
    </row>
    <row r="56" spans="1:11" s="393" customFormat="1" ht="17.100000000000001" customHeight="1" x14ac:dyDescent="0.25">
      <c r="A56" s="1229"/>
      <c r="B56" s="1230"/>
      <c r="C56" s="1230"/>
      <c r="D56" s="73" t="s">
        <v>78</v>
      </c>
      <c r="E56" s="73" t="s">
        <v>79</v>
      </c>
      <c r="F56" s="73" t="s">
        <v>80</v>
      </c>
      <c r="G56" s="73" t="s">
        <v>80</v>
      </c>
      <c r="H56" s="73" t="s">
        <v>13</v>
      </c>
      <c r="K56" s="394"/>
    </row>
    <row r="57" spans="1:11" s="393" customFormat="1" ht="17.100000000000001" customHeight="1" x14ac:dyDescent="0.25">
      <c r="A57" s="63">
        <v>1</v>
      </c>
      <c r="B57" s="274" t="s">
        <v>43</v>
      </c>
      <c r="C57" s="316">
        <f>'Office Major'!C70</f>
        <v>1</v>
      </c>
      <c r="D57" s="316">
        <f>'Office Major'!D70</f>
        <v>145</v>
      </c>
      <c r="E57" s="316">
        <f>'Office Major'!E70</f>
        <v>8900</v>
      </c>
      <c r="F57" s="316">
        <f>'Office Major'!F70</f>
        <v>16012000</v>
      </c>
      <c r="G57" s="316">
        <f>'Office Major'!G70</f>
        <v>1595000</v>
      </c>
      <c r="H57" s="316">
        <f>'Office Major'!H70</f>
        <v>0</v>
      </c>
      <c r="K57" s="394"/>
    </row>
    <row r="58" spans="1:11" s="393" customFormat="1" ht="17.100000000000001" customHeight="1" x14ac:dyDescent="0.25">
      <c r="A58" s="63">
        <v>2</v>
      </c>
      <c r="B58" s="274" t="s">
        <v>34</v>
      </c>
      <c r="C58" s="316">
        <f>'Office Major'!C71</f>
        <v>2</v>
      </c>
      <c r="D58" s="316">
        <f>'Office Major'!D71</f>
        <v>2212.25</v>
      </c>
      <c r="E58" s="316">
        <f>'Office Major'!E71</f>
        <v>3015422</v>
      </c>
      <c r="F58" s="316">
        <f>'Office Major'!F71</f>
        <v>6030844060</v>
      </c>
      <c r="G58" s="316">
        <f>'Office Major'!G71</f>
        <v>410131221</v>
      </c>
      <c r="H58" s="316">
        <f>'Office Major'!H71</f>
        <v>230</v>
      </c>
      <c r="K58" s="394"/>
    </row>
    <row r="59" spans="1:11" s="393" customFormat="1" ht="17.100000000000001" customHeight="1" x14ac:dyDescent="0.25">
      <c r="A59" s="1221" t="s">
        <v>158</v>
      </c>
      <c r="B59" s="1222"/>
      <c r="C59" s="511">
        <f>SUM(C57:C58)</f>
        <v>3</v>
      </c>
      <c r="D59" s="511">
        <f t="shared" ref="D59:H59" si="5">SUM(D57:D58)</f>
        <v>2357.25</v>
      </c>
      <c r="E59" s="511">
        <f t="shared" si="5"/>
        <v>3024322</v>
      </c>
      <c r="F59" s="511">
        <f t="shared" si="5"/>
        <v>6046856060</v>
      </c>
      <c r="G59" s="511">
        <f t="shared" si="5"/>
        <v>411726221</v>
      </c>
      <c r="H59" s="511">
        <f t="shared" si="5"/>
        <v>230</v>
      </c>
      <c r="K59" s="394"/>
    </row>
    <row r="60" spans="1:11" s="393" customFormat="1" ht="17.100000000000001" customHeight="1" x14ac:dyDescent="0.25">
      <c r="A60" s="513"/>
      <c r="B60" s="513"/>
      <c r="C60" s="513"/>
      <c r="D60" s="513"/>
      <c r="E60" s="513"/>
      <c r="F60" s="513"/>
      <c r="G60" s="513"/>
      <c r="H60" s="513"/>
      <c r="K60" s="394"/>
    </row>
    <row r="61" spans="1:11" s="393" customFormat="1" ht="17.100000000000001" customHeight="1" x14ac:dyDescent="0.25">
      <c r="A61" s="1250" t="s">
        <v>247</v>
      </c>
      <c r="B61" s="1250"/>
      <c r="C61" s="1250"/>
      <c r="D61" s="1250"/>
      <c r="E61" s="1250"/>
      <c r="F61" s="1250"/>
      <c r="G61" s="1250"/>
      <c r="H61" s="1250"/>
      <c r="K61" s="394"/>
    </row>
    <row r="62" spans="1:11" s="393" customFormat="1" ht="17.100000000000001" customHeight="1" x14ac:dyDescent="0.25">
      <c r="A62" s="1246" t="s">
        <v>2</v>
      </c>
      <c r="B62" s="1235" t="s">
        <v>3</v>
      </c>
      <c r="C62" s="1235" t="s">
        <v>4</v>
      </c>
      <c r="D62" s="70" t="s">
        <v>5</v>
      </c>
      <c r="E62" s="70" t="s">
        <v>6</v>
      </c>
      <c r="F62" s="70" t="s">
        <v>7</v>
      </c>
      <c r="G62" s="70" t="s">
        <v>8</v>
      </c>
      <c r="H62" s="70" t="s">
        <v>9</v>
      </c>
      <c r="K62" s="394"/>
    </row>
    <row r="63" spans="1:11" s="393" customFormat="1" ht="17.100000000000001" customHeight="1" x14ac:dyDescent="0.25">
      <c r="A63" s="1247"/>
      <c r="B63" s="1236"/>
      <c r="C63" s="1236"/>
      <c r="D63" s="71" t="s">
        <v>78</v>
      </c>
      <c r="E63" s="71" t="s">
        <v>79</v>
      </c>
      <c r="F63" s="71" t="s">
        <v>80</v>
      </c>
      <c r="G63" s="71" t="s">
        <v>80</v>
      </c>
      <c r="H63" s="71" t="s">
        <v>13</v>
      </c>
      <c r="K63" s="394"/>
    </row>
    <row r="64" spans="1:11" s="393" customFormat="1" ht="17.100000000000001" customHeight="1" x14ac:dyDescent="0.25">
      <c r="A64" s="63">
        <v>1</v>
      </c>
      <c r="B64" s="63" t="s">
        <v>35</v>
      </c>
      <c r="C64" s="63">
        <f>'Office Major'!C139</f>
        <v>1</v>
      </c>
      <c r="D64" s="63">
        <f>'Office Major'!D139</f>
        <v>1516.8</v>
      </c>
      <c r="E64" s="63">
        <f>'Office Major'!E139</f>
        <v>885550</v>
      </c>
      <c r="F64" s="63">
        <f>'Office Major'!F139</f>
        <v>708440000</v>
      </c>
      <c r="G64" s="63">
        <f>'Office Major'!G139</f>
        <v>72000000</v>
      </c>
      <c r="H64" s="63">
        <f>'Office Major'!H139</f>
        <v>40</v>
      </c>
      <c r="K64" s="394"/>
    </row>
    <row r="65" spans="1:11" s="393" customFormat="1" ht="17.100000000000001" customHeight="1" x14ac:dyDescent="0.25">
      <c r="A65" s="1237" t="s">
        <v>158</v>
      </c>
      <c r="B65" s="1238"/>
      <c r="C65" s="516">
        <f>SUM(C64:C64)</f>
        <v>1</v>
      </c>
      <c r="D65" s="516">
        <f t="shared" ref="D65:H65" si="6">SUM(D64:D64)</f>
        <v>1516.8</v>
      </c>
      <c r="E65" s="516">
        <f t="shared" si="6"/>
        <v>885550</v>
      </c>
      <c r="F65" s="516">
        <f t="shared" si="6"/>
        <v>708440000</v>
      </c>
      <c r="G65" s="516">
        <f t="shared" si="6"/>
        <v>72000000</v>
      </c>
      <c r="H65" s="516">
        <f t="shared" si="6"/>
        <v>40</v>
      </c>
      <c r="K65" s="394"/>
    </row>
    <row r="66" spans="1:11" s="393" customFormat="1" ht="17.100000000000001" customHeight="1" x14ac:dyDescent="0.25">
      <c r="A66" s="237"/>
      <c r="B66" s="509"/>
      <c r="C66" s="506"/>
      <c r="D66" s="507"/>
      <c r="E66" s="508"/>
      <c r="F66" s="508"/>
      <c r="G66" s="508"/>
      <c r="H66" s="506"/>
      <c r="K66" s="394"/>
    </row>
    <row r="67" spans="1:11" s="393" customFormat="1" ht="17.100000000000001" customHeight="1" x14ac:dyDescent="0.25">
      <c r="A67" s="1233" t="s">
        <v>248</v>
      </c>
      <c r="B67" s="1233"/>
      <c r="C67" s="1233"/>
      <c r="D67" s="1233"/>
      <c r="E67" s="1233"/>
      <c r="F67" s="1233"/>
      <c r="G67" s="1233"/>
      <c r="H67" s="1233"/>
      <c r="K67" s="394"/>
    </row>
    <row r="68" spans="1:11" s="393" customFormat="1" ht="17.100000000000001" customHeight="1" x14ac:dyDescent="0.25">
      <c r="A68" s="1223" t="s">
        <v>2</v>
      </c>
      <c r="B68" s="1225" t="s">
        <v>3</v>
      </c>
      <c r="C68" s="1225" t="s">
        <v>4</v>
      </c>
      <c r="D68" s="68" t="s">
        <v>5</v>
      </c>
      <c r="E68" s="68" t="s">
        <v>6</v>
      </c>
      <c r="F68" s="68" t="s">
        <v>7</v>
      </c>
      <c r="G68" s="68" t="s">
        <v>8</v>
      </c>
      <c r="H68" s="68" t="s">
        <v>9</v>
      </c>
      <c r="K68" s="394"/>
    </row>
    <row r="69" spans="1:11" s="393" customFormat="1" ht="17.100000000000001" customHeight="1" x14ac:dyDescent="0.25">
      <c r="A69" s="1224"/>
      <c r="B69" s="1226"/>
      <c r="C69" s="1226"/>
      <c r="D69" s="75" t="s">
        <v>78</v>
      </c>
      <c r="E69" s="75" t="s">
        <v>79</v>
      </c>
      <c r="F69" s="69" t="s">
        <v>80</v>
      </c>
      <c r="G69" s="75" t="s">
        <v>80</v>
      </c>
      <c r="H69" s="75" t="s">
        <v>13</v>
      </c>
      <c r="K69" s="394"/>
    </row>
    <row r="70" spans="1:11" s="393" customFormat="1" ht="17.100000000000001" customHeight="1" x14ac:dyDescent="0.25">
      <c r="A70" s="323">
        <v>1</v>
      </c>
      <c r="B70" s="322" t="s">
        <v>35</v>
      </c>
      <c r="C70" s="321">
        <f>'Office Major'!C77+'Office Major'!C162</f>
        <v>12</v>
      </c>
      <c r="D70" s="321">
        <f>'Office Major'!D77+'Office Major'!D162</f>
        <v>6549.692</v>
      </c>
      <c r="E70" s="321">
        <f>'Office Major'!E77+'Office Major'!E162</f>
        <v>37872562</v>
      </c>
      <c r="F70" s="321">
        <f>'Office Major'!F77+'Office Major'!F162</f>
        <v>26225485534</v>
      </c>
      <c r="G70" s="321">
        <f>'Office Major'!G77+'Office Major'!G162</f>
        <v>3074692432</v>
      </c>
      <c r="H70" s="321">
        <f>'Office Major'!H77+'Office Major'!H162</f>
        <v>1117</v>
      </c>
      <c r="K70" s="394"/>
    </row>
    <row r="71" spans="1:11" s="393" customFormat="1" ht="17.100000000000001" customHeight="1" x14ac:dyDescent="0.25">
      <c r="A71" s="1251" t="s">
        <v>158</v>
      </c>
      <c r="B71" s="1252"/>
      <c r="C71" s="511">
        <f t="shared" ref="C71:H71" si="7">SUM(C70:C70)</f>
        <v>12</v>
      </c>
      <c r="D71" s="511">
        <f t="shared" si="7"/>
        <v>6549.692</v>
      </c>
      <c r="E71" s="511">
        <f t="shared" si="7"/>
        <v>37872562</v>
      </c>
      <c r="F71" s="511">
        <f t="shared" si="7"/>
        <v>26225485534</v>
      </c>
      <c r="G71" s="511">
        <f t="shared" si="7"/>
        <v>3074692432</v>
      </c>
      <c r="H71" s="511">
        <f t="shared" si="7"/>
        <v>1117</v>
      </c>
      <c r="K71" s="394"/>
    </row>
    <row r="72" spans="1:11" s="393" customFormat="1" ht="17.100000000000001" customHeight="1" x14ac:dyDescent="0.25">
      <c r="A72" s="513"/>
      <c r="B72" s="513"/>
      <c r="C72" s="513"/>
      <c r="D72" s="513"/>
      <c r="E72" s="513"/>
      <c r="F72" s="513"/>
      <c r="G72" s="513"/>
      <c r="H72" s="513"/>
      <c r="K72" s="394"/>
    </row>
    <row r="73" spans="1:11" s="393" customFormat="1" ht="17.100000000000001" customHeight="1" x14ac:dyDescent="0.25">
      <c r="A73" s="1233" t="s">
        <v>249</v>
      </c>
      <c r="B73" s="1233"/>
      <c r="C73" s="1233"/>
      <c r="D73" s="1233"/>
      <c r="E73" s="1233"/>
      <c r="F73" s="1233"/>
      <c r="G73" s="1233"/>
      <c r="H73" s="1233"/>
      <c r="K73" s="394"/>
    </row>
    <row r="74" spans="1:11" s="393" customFormat="1" ht="17.100000000000001" customHeight="1" x14ac:dyDescent="0.25">
      <c r="A74" s="1223" t="s">
        <v>2</v>
      </c>
      <c r="B74" s="1225" t="s">
        <v>3</v>
      </c>
      <c r="C74" s="1225" t="s">
        <v>4</v>
      </c>
      <c r="D74" s="72" t="s">
        <v>5</v>
      </c>
      <c r="E74" s="72" t="s">
        <v>6</v>
      </c>
      <c r="F74" s="72" t="s">
        <v>7</v>
      </c>
      <c r="G74" s="72" t="s">
        <v>8</v>
      </c>
      <c r="H74" s="72" t="s">
        <v>9</v>
      </c>
      <c r="K74" s="394"/>
    </row>
    <row r="75" spans="1:11" s="393" customFormat="1" ht="17.100000000000001" customHeight="1" x14ac:dyDescent="0.25">
      <c r="A75" s="1229"/>
      <c r="B75" s="1230"/>
      <c r="C75" s="1230"/>
      <c r="D75" s="73" t="s">
        <v>78</v>
      </c>
      <c r="E75" s="73" t="s">
        <v>79</v>
      </c>
      <c r="F75" s="73" t="s">
        <v>80</v>
      </c>
      <c r="G75" s="73" t="s">
        <v>80</v>
      </c>
      <c r="H75" s="73" t="s">
        <v>13</v>
      </c>
      <c r="K75" s="394"/>
    </row>
    <row r="76" spans="1:11" s="393" customFormat="1" ht="17.100000000000001" customHeight="1" x14ac:dyDescent="0.25">
      <c r="A76" s="320">
        <v>1</v>
      </c>
      <c r="B76" s="317" t="str">
        <f>'Office Major'!B83</f>
        <v>Vermiculite</v>
      </c>
      <c r="C76" s="316">
        <f>'Office Major'!C84</f>
        <v>1</v>
      </c>
      <c r="D76" s="316">
        <f>'Office Major'!D84</f>
        <v>5</v>
      </c>
      <c r="E76" s="316">
        <f>'Office Major'!E84</f>
        <v>0</v>
      </c>
      <c r="F76" s="316">
        <f>'Office Major'!F84</f>
        <v>0</v>
      </c>
      <c r="G76" s="316">
        <f>'Office Major'!G84</f>
        <v>0</v>
      </c>
      <c r="H76" s="316">
        <f>'Office Major'!H84</f>
        <v>0</v>
      </c>
      <c r="K76" s="394"/>
    </row>
    <row r="77" spans="1:11" s="393" customFormat="1" ht="17.100000000000001" customHeight="1" x14ac:dyDescent="0.25">
      <c r="A77" s="1253" t="s">
        <v>158</v>
      </c>
      <c r="B77" s="1254"/>
      <c r="C77" s="658">
        <f t="shared" ref="C77:H77" si="8">SUM(C76:C76)</f>
        <v>1</v>
      </c>
      <c r="D77" s="658">
        <f t="shared" si="8"/>
        <v>5</v>
      </c>
      <c r="E77" s="658">
        <f t="shared" si="8"/>
        <v>0</v>
      </c>
      <c r="F77" s="658">
        <f t="shared" si="8"/>
        <v>0</v>
      </c>
      <c r="G77" s="658">
        <f t="shared" si="8"/>
        <v>0</v>
      </c>
      <c r="H77" s="658">
        <f t="shared" si="8"/>
        <v>0</v>
      </c>
      <c r="K77" s="394"/>
    </row>
    <row r="78" spans="1:11" s="652" customFormat="1" ht="17.100000000000001" customHeight="1" x14ac:dyDescent="0.25">
      <c r="A78" s="654"/>
      <c r="B78" s="654"/>
      <c r="C78" s="655"/>
      <c r="D78" s="656"/>
      <c r="E78" s="657"/>
      <c r="F78" s="657"/>
      <c r="G78" s="657"/>
      <c r="H78" s="655"/>
      <c r="K78" s="653"/>
    </row>
    <row r="79" spans="1:11" s="393" customFormat="1" ht="17.100000000000001" customHeight="1" x14ac:dyDescent="0.25">
      <c r="A79" s="1233" t="s">
        <v>250</v>
      </c>
      <c r="B79" s="1233"/>
      <c r="C79" s="1233"/>
      <c r="D79" s="1233"/>
      <c r="E79" s="1233"/>
      <c r="F79" s="1233"/>
      <c r="G79" s="1233"/>
      <c r="H79" s="1233"/>
      <c r="K79" s="394"/>
    </row>
    <row r="80" spans="1:11" s="393" customFormat="1" ht="17.100000000000001" customHeight="1" x14ac:dyDescent="0.25">
      <c r="A80" s="1223" t="s">
        <v>2</v>
      </c>
      <c r="B80" s="1225" t="s">
        <v>3</v>
      </c>
      <c r="C80" s="1225" t="s">
        <v>4</v>
      </c>
      <c r="D80" s="72" t="s">
        <v>5</v>
      </c>
      <c r="E80" s="72" t="s">
        <v>6</v>
      </c>
      <c r="F80" s="72" t="s">
        <v>7</v>
      </c>
      <c r="G80" s="72" t="s">
        <v>8</v>
      </c>
      <c r="H80" s="72" t="s">
        <v>9</v>
      </c>
      <c r="K80" s="394"/>
    </row>
    <row r="81" spans="1:11" s="393" customFormat="1" ht="17.100000000000001" customHeight="1" x14ac:dyDescent="0.25">
      <c r="A81" s="1229"/>
      <c r="B81" s="1230"/>
      <c r="C81" s="1230"/>
      <c r="D81" s="73" t="s">
        <v>78</v>
      </c>
      <c r="E81" s="73" t="s">
        <v>79</v>
      </c>
      <c r="F81" s="73" t="s">
        <v>80</v>
      </c>
      <c r="G81" s="73" t="s">
        <v>80</v>
      </c>
      <c r="H81" s="73" t="s">
        <v>13</v>
      </c>
      <c r="K81" s="394"/>
    </row>
    <row r="82" spans="1:11" s="393" customFormat="1" ht="17.100000000000001" customHeight="1" x14ac:dyDescent="0.25">
      <c r="A82" s="320">
        <v>1</v>
      </c>
      <c r="B82" s="317" t="s">
        <v>29</v>
      </c>
      <c r="C82" s="316">
        <f>'Office Major'!C89</f>
        <v>1</v>
      </c>
      <c r="D82" s="316">
        <f>'Office Major'!D89</f>
        <v>5</v>
      </c>
      <c r="E82" s="316">
        <f>'Office Major'!E89</f>
        <v>0</v>
      </c>
      <c r="F82" s="316">
        <f>'Office Major'!F89</f>
        <v>0</v>
      </c>
      <c r="G82" s="316">
        <f>'Office Major'!G89</f>
        <v>30767</v>
      </c>
      <c r="H82" s="316">
        <f>'Office Major'!H89</f>
        <v>0</v>
      </c>
      <c r="K82" s="394"/>
    </row>
    <row r="83" spans="1:11" s="393" customFormat="1" ht="17.100000000000001" customHeight="1" x14ac:dyDescent="0.25">
      <c r="A83" s="1221" t="s">
        <v>158</v>
      </c>
      <c r="B83" s="1222"/>
      <c r="C83" s="511">
        <f t="shared" ref="C83:H83" si="9">SUM(C82:C82)</f>
        <v>1</v>
      </c>
      <c r="D83" s="511">
        <f t="shared" si="9"/>
        <v>5</v>
      </c>
      <c r="E83" s="511">
        <f t="shared" si="9"/>
        <v>0</v>
      </c>
      <c r="F83" s="511">
        <f t="shared" si="9"/>
        <v>0</v>
      </c>
      <c r="G83" s="511">
        <f t="shared" si="9"/>
        <v>30767</v>
      </c>
      <c r="H83" s="511">
        <f t="shared" si="9"/>
        <v>0</v>
      </c>
      <c r="K83" s="394"/>
    </row>
    <row r="84" spans="1:11" s="393" customFormat="1" ht="17.100000000000001" customHeight="1" x14ac:dyDescent="0.25">
      <c r="A84" s="513"/>
      <c r="B84" s="513"/>
      <c r="C84" s="513"/>
      <c r="D84" s="513"/>
      <c r="E84" s="513"/>
      <c r="F84" s="513"/>
      <c r="G84" s="513"/>
      <c r="H84" s="513"/>
      <c r="K84" s="394"/>
    </row>
    <row r="85" spans="1:11" s="393" customFormat="1" ht="17.100000000000001" customHeight="1" x14ac:dyDescent="0.25">
      <c r="A85" s="1233" t="s">
        <v>252</v>
      </c>
      <c r="B85" s="1233"/>
      <c r="C85" s="1233"/>
      <c r="D85" s="1233"/>
      <c r="E85" s="1233"/>
      <c r="F85" s="1233"/>
      <c r="G85" s="1233"/>
      <c r="H85" s="1233"/>
      <c r="K85" s="394"/>
    </row>
    <row r="86" spans="1:11" s="393" customFormat="1" ht="17.100000000000001" customHeight="1" x14ac:dyDescent="0.25">
      <c r="A86" s="1223" t="s">
        <v>2</v>
      </c>
      <c r="B86" s="1225" t="s">
        <v>3</v>
      </c>
      <c r="C86" s="1225" t="s">
        <v>4</v>
      </c>
      <c r="D86" s="68" t="s">
        <v>5</v>
      </c>
      <c r="E86" s="68" t="s">
        <v>6</v>
      </c>
      <c r="F86" s="68" t="s">
        <v>7</v>
      </c>
      <c r="G86" s="68" t="s">
        <v>8</v>
      </c>
      <c r="H86" s="68" t="s">
        <v>9</v>
      </c>
      <c r="K86" s="394"/>
    </row>
    <row r="87" spans="1:11" s="393" customFormat="1" ht="17.100000000000001" customHeight="1" x14ac:dyDescent="0.25">
      <c r="A87" s="1229"/>
      <c r="B87" s="1230"/>
      <c r="C87" s="1230"/>
      <c r="D87" s="69" t="s">
        <v>78</v>
      </c>
      <c r="E87" s="69" t="s">
        <v>79</v>
      </c>
      <c r="F87" s="69" t="s">
        <v>80</v>
      </c>
      <c r="G87" s="69" t="s">
        <v>80</v>
      </c>
      <c r="H87" s="661" t="s">
        <v>13</v>
      </c>
      <c r="K87" s="394"/>
    </row>
    <row r="88" spans="1:11" s="393" customFormat="1" ht="17.100000000000001" customHeight="1" x14ac:dyDescent="0.25">
      <c r="A88" s="799">
        <v>1</v>
      </c>
      <c r="B88" s="800" t="str">
        <f>'Office Major'!B146</f>
        <v>Epidote</v>
      </c>
      <c r="C88" s="801">
        <f>'Office Major'!C146</f>
        <v>1</v>
      </c>
      <c r="D88" s="801">
        <f>'Office Major'!D146</f>
        <v>4.05</v>
      </c>
      <c r="E88" s="801">
        <f>'Office Major'!E146</f>
        <v>0</v>
      </c>
      <c r="F88" s="801">
        <f>'Office Major'!F146</f>
        <v>0</v>
      </c>
      <c r="G88" s="801">
        <f>'Office Major'!G146</f>
        <v>4052</v>
      </c>
      <c r="H88" s="801">
        <f>'Office Major'!H146</f>
        <v>0</v>
      </c>
      <c r="K88" s="394"/>
    </row>
    <row r="89" spans="1:11" s="393" customFormat="1" ht="17.100000000000001" customHeight="1" x14ac:dyDescent="0.25">
      <c r="A89" s="166">
        <v>2</v>
      </c>
      <c r="B89" s="166" t="s">
        <v>17</v>
      </c>
      <c r="C89" s="326">
        <f>'Office Major'!C145+'Office Major'!C102</f>
        <v>4</v>
      </c>
      <c r="D89" s="326">
        <f>'Office Major'!D145+'Office Major'!D102</f>
        <v>143.24</v>
      </c>
      <c r="E89" s="326">
        <f>'Office Major'!E145+'Office Major'!E102</f>
        <v>28291.4</v>
      </c>
      <c r="F89" s="326">
        <f>'Office Major'!F145+'Office Major'!F102</f>
        <v>114421600</v>
      </c>
      <c r="G89" s="326">
        <f>'Office Major'!G145+'Office Major'!G102</f>
        <v>2342128</v>
      </c>
      <c r="H89" s="326">
        <f>'Office Major'!H145+'Office Major'!H102</f>
        <v>35</v>
      </c>
      <c r="K89" s="394"/>
    </row>
    <row r="90" spans="1:11" s="393" customFormat="1" ht="17.100000000000001" customHeight="1" x14ac:dyDescent="0.25">
      <c r="A90" s="799">
        <v>3</v>
      </c>
      <c r="B90" s="274" t="s">
        <v>35</v>
      </c>
      <c r="C90" s="326">
        <f>'Office Major'!C147</f>
        <v>3</v>
      </c>
      <c r="D90" s="326">
        <f>'Office Major'!D147</f>
        <v>899.93</v>
      </c>
      <c r="E90" s="326">
        <f>'Office Major'!E147</f>
        <v>4684139</v>
      </c>
      <c r="F90" s="326">
        <f>'Office Major'!F147</f>
        <v>2810483400</v>
      </c>
      <c r="G90" s="326">
        <f>'Office Major'!G147</f>
        <v>374860600</v>
      </c>
      <c r="H90" s="326">
        <f>'Office Major'!H147</f>
        <v>290</v>
      </c>
      <c r="K90" s="394"/>
    </row>
    <row r="91" spans="1:11" s="393" customFormat="1" ht="17.100000000000001" customHeight="1" x14ac:dyDescent="0.25">
      <c r="A91" s="166">
        <v>4</v>
      </c>
      <c r="B91" s="166" t="str">
        <f>'Office Major'!B148</f>
        <v>Silicious earth</v>
      </c>
      <c r="C91" s="166">
        <f>'Office Major'!C148</f>
        <v>0</v>
      </c>
      <c r="D91" s="166">
        <f>'Office Major'!D148</f>
        <v>0</v>
      </c>
      <c r="E91" s="166">
        <f>'Office Major'!E148</f>
        <v>0</v>
      </c>
      <c r="F91" s="166">
        <f>'Office Major'!F148</f>
        <v>0</v>
      </c>
      <c r="G91" s="166">
        <f>'Office Major'!G148</f>
        <v>0</v>
      </c>
      <c r="H91" s="166">
        <f>'Office Major'!H148</f>
        <v>0</v>
      </c>
      <c r="K91" s="394"/>
    </row>
    <row r="92" spans="1:11" s="393" customFormat="1" ht="17.100000000000001" customHeight="1" x14ac:dyDescent="0.25">
      <c r="A92" s="166"/>
      <c r="B92" s="166"/>
      <c r="C92" s="166"/>
      <c r="D92" s="166"/>
      <c r="E92" s="166"/>
      <c r="F92" s="166"/>
      <c r="G92" s="166"/>
      <c r="H92" s="166"/>
      <c r="K92" s="394"/>
    </row>
    <row r="93" spans="1:11" s="393" customFormat="1" ht="17.100000000000001" customHeight="1" x14ac:dyDescent="0.25">
      <c r="A93" s="1255" t="s">
        <v>158</v>
      </c>
      <c r="B93" s="1256"/>
      <c r="C93" s="514">
        <f t="shared" ref="C93:H93" si="10">SUM(C88:C92)</f>
        <v>8</v>
      </c>
      <c r="D93" s="514">
        <f t="shared" si="10"/>
        <v>1047.22</v>
      </c>
      <c r="E93" s="514">
        <f t="shared" si="10"/>
        <v>4712430.4000000004</v>
      </c>
      <c r="F93" s="514">
        <f t="shared" si="10"/>
        <v>2924905000</v>
      </c>
      <c r="G93" s="514">
        <f t="shared" si="10"/>
        <v>377206780</v>
      </c>
      <c r="H93" s="514">
        <f t="shared" si="10"/>
        <v>325</v>
      </c>
      <c r="K93" s="394"/>
    </row>
    <row r="94" spans="1:11" s="393" customFormat="1" ht="17.100000000000001" customHeight="1" x14ac:dyDescent="0.25">
      <c r="A94" s="513"/>
      <c r="B94" s="513"/>
      <c r="C94" s="513"/>
      <c r="D94" s="513"/>
      <c r="E94" s="513"/>
      <c r="F94" s="513"/>
      <c r="G94" s="513"/>
      <c r="H94" s="513"/>
      <c r="K94" s="394"/>
    </row>
    <row r="95" spans="1:11" s="393" customFormat="1" ht="17.100000000000001" customHeight="1" x14ac:dyDescent="0.25">
      <c r="A95" s="1233" t="s">
        <v>254</v>
      </c>
      <c r="B95" s="1233"/>
      <c r="C95" s="1233"/>
      <c r="D95" s="1233"/>
      <c r="E95" s="1233"/>
      <c r="F95" s="1233"/>
      <c r="G95" s="1233"/>
      <c r="H95" s="1233"/>
      <c r="K95" s="394"/>
    </row>
    <row r="96" spans="1:11" s="393" customFormat="1" ht="17.100000000000001" customHeight="1" x14ac:dyDescent="0.25">
      <c r="A96" s="1223" t="s">
        <v>2</v>
      </c>
      <c r="B96" s="1225" t="s">
        <v>3</v>
      </c>
      <c r="C96" s="1225" t="s">
        <v>4</v>
      </c>
      <c r="D96" s="68" t="s">
        <v>5</v>
      </c>
      <c r="E96" s="68" t="s">
        <v>6</v>
      </c>
      <c r="F96" s="68" t="s">
        <v>7</v>
      </c>
      <c r="G96" s="68" t="s">
        <v>8</v>
      </c>
      <c r="H96" s="68" t="s">
        <v>9</v>
      </c>
      <c r="K96" s="394"/>
    </row>
    <row r="97" spans="1:11" s="393" customFormat="1" ht="17.100000000000001" customHeight="1" x14ac:dyDescent="0.25">
      <c r="A97" s="1229"/>
      <c r="B97" s="1230"/>
      <c r="C97" s="1230"/>
      <c r="D97" s="69" t="s">
        <v>78</v>
      </c>
      <c r="E97" s="69" t="s">
        <v>79</v>
      </c>
      <c r="F97" s="69" t="s">
        <v>80</v>
      </c>
      <c r="G97" s="69" t="s">
        <v>80</v>
      </c>
      <c r="H97" s="69" t="s">
        <v>13</v>
      </c>
      <c r="K97" s="394"/>
    </row>
    <row r="98" spans="1:11" s="393" customFormat="1" ht="17.100000000000001" customHeight="1" x14ac:dyDescent="0.25">
      <c r="A98" s="63">
        <v>1</v>
      </c>
      <c r="B98" s="274" t="s">
        <v>166</v>
      </c>
      <c r="C98" s="316">
        <f>'Office Major'!C110</f>
        <v>4</v>
      </c>
      <c r="D98" s="316">
        <f>'Office Major'!D110</f>
        <v>2817.52</v>
      </c>
      <c r="E98" s="316">
        <f>'Office Major'!E110</f>
        <v>3292847</v>
      </c>
      <c r="F98" s="316">
        <f>'Office Major'!F110</f>
        <v>2087664998</v>
      </c>
      <c r="G98" s="316">
        <f>'Office Major'!G110</f>
        <v>337687880</v>
      </c>
      <c r="H98" s="316">
        <f>'Office Major'!H110</f>
        <v>520</v>
      </c>
      <c r="K98" s="394"/>
    </row>
    <row r="99" spans="1:11" s="393" customFormat="1" ht="17.100000000000001" customHeight="1" x14ac:dyDescent="0.25">
      <c r="A99" s="63">
        <v>2</v>
      </c>
      <c r="B99" s="274" t="s">
        <v>167</v>
      </c>
      <c r="C99" s="316">
        <f>'Office Major'!C111</f>
        <v>9</v>
      </c>
      <c r="D99" s="316">
        <f>'Office Major'!D111</f>
        <v>85.984999999999999</v>
      </c>
      <c r="E99" s="316">
        <f>'Office Major'!E111</f>
        <v>11608</v>
      </c>
      <c r="F99" s="316">
        <f>'Office Major'!F111</f>
        <v>8706000</v>
      </c>
      <c r="G99" s="316">
        <f>'Office Major'!G111</f>
        <v>1236852</v>
      </c>
      <c r="H99" s="316">
        <f>'Office Major'!H111</f>
        <v>50</v>
      </c>
      <c r="K99" s="394"/>
    </row>
    <row r="100" spans="1:11" s="393" customFormat="1" ht="17.100000000000001" customHeight="1" x14ac:dyDescent="0.25">
      <c r="A100" s="1231" t="s">
        <v>158</v>
      </c>
      <c r="B100" s="1232"/>
      <c r="C100" s="497">
        <f t="shared" ref="C100:H100" si="11">SUM(C98:C99)</f>
        <v>13</v>
      </c>
      <c r="D100" s="497">
        <f t="shared" si="11"/>
        <v>2903.5050000000001</v>
      </c>
      <c r="E100" s="497">
        <f t="shared" si="11"/>
        <v>3304455</v>
      </c>
      <c r="F100" s="497">
        <f t="shared" si="11"/>
        <v>2096370998</v>
      </c>
      <c r="G100" s="497">
        <f t="shared" si="11"/>
        <v>338924732</v>
      </c>
      <c r="H100" s="497">
        <f t="shared" si="11"/>
        <v>570</v>
      </c>
      <c r="K100" s="394"/>
    </row>
    <row r="101" spans="1:11" s="393" customFormat="1" ht="17.100000000000001" customHeight="1" x14ac:dyDescent="0.25">
      <c r="A101" s="237"/>
      <c r="B101" s="500"/>
      <c r="C101" s="501"/>
      <c r="D101" s="502"/>
      <c r="E101" s="503"/>
      <c r="F101" s="503"/>
      <c r="G101" s="503"/>
      <c r="H101" s="504"/>
      <c r="K101" s="394"/>
    </row>
    <row r="102" spans="1:11" s="393" customFormat="1" ht="17.100000000000001" customHeight="1" x14ac:dyDescent="0.25">
      <c r="A102" s="1233" t="s">
        <v>255</v>
      </c>
      <c r="B102" s="1233"/>
      <c r="C102" s="1233"/>
      <c r="D102" s="1233"/>
      <c r="E102" s="1233"/>
      <c r="F102" s="1233"/>
      <c r="G102" s="1233"/>
      <c r="H102" s="1233"/>
      <c r="K102" s="394"/>
    </row>
    <row r="103" spans="1:11" s="393" customFormat="1" ht="17.100000000000001" customHeight="1" x14ac:dyDescent="0.25">
      <c r="A103" s="1223" t="s">
        <v>2</v>
      </c>
      <c r="B103" s="1225" t="s">
        <v>3</v>
      </c>
      <c r="C103" s="1225" t="s">
        <v>4</v>
      </c>
      <c r="D103" s="68" t="s">
        <v>5</v>
      </c>
      <c r="E103" s="68" t="s">
        <v>6</v>
      </c>
      <c r="F103" s="68" t="s">
        <v>7</v>
      </c>
      <c r="G103" s="68" t="s">
        <v>8</v>
      </c>
      <c r="H103" s="68" t="s">
        <v>9</v>
      </c>
      <c r="K103" s="394"/>
    </row>
    <row r="104" spans="1:11" s="393" customFormat="1" ht="17.100000000000001" customHeight="1" x14ac:dyDescent="0.25">
      <c r="A104" s="1229"/>
      <c r="B104" s="1230"/>
      <c r="C104" s="1230"/>
      <c r="D104" s="69" t="s">
        <v>78</v>
      </c>
      <c r="E104" s="69" t="s">
        <v>79</v>
      </c>
      <c r="F104" s="69" t="s">
        <v>80</v>
      </c>
      <c r="G104" s="69" t="s">
        <v>80</v>
      </c>
      <c r="H104" s="69" t="s">
        <v>13</v>
      </c>
      <c r="K104" s="394"/>
    </row>
    <row r="105" spans="1:11" s="393" customFormat="1" ht="17.100000000000001" customHeight="1" x14ac:dyDescent="0.25">
      <c r="A105" s="320">
        <v>1</v>
      </c>
      <c r="B105" s="317" t="s">
        <v>29</v>
      </c>
      <c r="C105" s="316">
        <f>'Office Major'!C117</f>
        <v>5</v>
      </c>
      <c r="D105" s="316">
        <f>'Office Major'!D117</f>
        <v>1075</v>
      </c>
      <c r="E105" s="316">
        <f>'Office Major'!E117</f>
        <v>0</v>
      </c>
      <c r="F105" s="316">
        <f>'Office Major'!F117</f>
        <v>0</v>
      </c>
      <c r="G105" s="316">
        <f>'Office Major'!G117</f>
        <v>0</v>
      </c>
      <c r="H105" s="316">
        <f>'Office Major'!H117</f>
        <v>0</v>
      </c>
      <c r="K105" s="394"/>
    </row>
    <row r="106" spans="1:11" s="393" customFormat="1" ht="17.100000000000001" customHeight="1" x14ac:dyDescent="0.25">
      <c r="A106" s="1231" t="s">
        <v>158</v>
      </c>
      <c r="B106" s="1232"/>
      <c r="C106" s="497">
        <f t="shared" ref="C106:H106" si="12">SUM(C105:C105)</f>
        <v>5</v>
      </c>
      <c r="D106" s="497">
        <f t="shared" si="12"/>
        <v>1075</v>
      </c>
      <c r="E106" s="497">
        <f t="shared" si="12"/>
        <v>0</v>
      </c>
      <c r="F106" s="497">
        <f t="shared" si="12"/>
        <v>0</v>
      </c>
      <c r="G106" s="497">
        <f t="shared" si="12"/>
        <v>0</v>
      </c>
      <c r="H106" s="497">
        <f t="shared" si="12"/>
        <v>0</v>
      </c>
      <c r="K106" s="394"/>
    </row>
    <row r="107" spans="1:11" s="393" customFormat="1" ht="17.100000000000001" customHeight="1" x14ac:dyDescent="0.25">
      <c r="A107" s="513"/>
      <c r="B107" s="513"/>
      <c r="C107" s="513"/>
      <c r="D107" s="513"/>
      <c r="E107" s="513"/>
      <c r="F107" s="513"/>
      <c r="G107" s="513"/>
      <c r="H107" s="513"/>
      <c r="K107" s="394"/>
    </row>
    <row r="108" spans="1:11" s="393" customFormat="1" ht="17.100000000000001" customHeight="1" x14ac:dyDescent="0.25">
      <c r="A108" s="1233" t="s">
        <v>256</v>
      </c>
      <c r="B108" s="1233"/>
      <c r="C108" s="1233"/>
      <c r="D108" s="1233"/>
      <c r="E108" s="1233"/>
      <c r="F108" s="1233"/>
      <c r="G108" s="1233"/>
      <c r="H108" s="1233"/>
      <c r="K108" s="394"/>
    </row>
    <row r="109" spans="1:11" s="393" customFormat="1" ht="17.100000000000001" customHeight="1" x14ac:dyDescent="0.25">
      <c r="A109" s="1223" t="s">
        <v>2</v>
      </c>
      <c r="B109" s="1225" t="s">
        <v>3</v>
      </c>
      <c r="C109" s="1225" t="s">
        <v>4</v>
      </c>
      <c r="D109" s="68" t="s">
        <v>5</v>
      </c>
      <c r="E109" s="68" t="s">
        <v>6</v>
      </c>
      <c r="F109" s="68" t="s">
        <v>7</v>
      </c>
      <c r="G109" s="68" t="s">
        <v>8</v>
      </c>
      <c r="H109" s="68" t="s">
        <v>9</v>
      </c>
      <c r="K109" s="394"/>
    </row>
    <row r="110" spans="1:11" s="393" customFormat="1" ht="17.100000000000001" customHeight="1" x14ac:dyDescent="0.25">
      <c r="A110" s="1224"/>
      <c r="B110" s="1226"/>
      <c r="C110" s="1226"/>
      <c r="D110" s="69" t="s">
        <v>78</v>
      </c>
      <c r="E110" s="69" t="s">
        <v>79</v>
      </c>
      <c r="F110" s="69" t="s">
        <v>80</v>
      </c>
      <c r="G110" s="69" t="s">
        <v>80</v>
      </c>
      <c r="H110" s="69" t="s">
        <v>13</v>
      </c>
      <c r="K110" s="394"/>
    </row>
    <row r="111" spans="1:11" s="393" customFormat="1" ht="17.100000000000001" customHeight="1" x14ac:dyDescent="0.25">
      <c r="A111" s="166">
        <v>1</v>
      </c>
      <c r="B111" s="166" t="s">
        <v>16</v>
      </c>
      <c r="C111" s="517">
        <f>'Office Major'!C123</f>
        <v>3</v>
      </c>
      <c r="D111" s="517">
        <f>'Office Major'!D123</f>
        <v>706.75</v>
      </c>
      <c r="E111" s="517">
        <f>'Office Major'!E123</f>
        <v>867904</v>
      </c>
      <c r="F111" s="517">
        <f>'Office Major'!F123</f>
        <v>2473526400</v>
      </c>
      <c r="G111" s="517">
        <f>'Office Major'!G123</f>
        <v>469878000</v>
      </c>
      <c r="H111" s="517">
        <f>'Office Major'!H123</f>
        <v>1760</v>
      </c>
      <c r="K111" s="394"/>
    </row>
    <row r="112" spans="1:11" s="393" customFormat="1" ht="17.100000000000001" customHeight="1" x14ac:dyDescent="0.25">
      <c r="A112" s="166">
        <v>2</v>
      </c>
      <c r="B112" s="166" t="str">
        <f>'Office Major'!B124</f>
        <v>Limestone</v>
      </c>
      <c r="C112" s="166">
        <f>'Office Major'!C124</f>
        <v>1</v>
      </c>
      <c r="D112" s="166">
        <f>'Office Major'!D124</f>
        <v>624</v>
      </c>
      <c r="E112" s="166">
        <f>'Office Major'!E124</f>
        <v>1064395</v>
      </c>
      <c r="F112" s="166">
        <f>'Office Major'!F124</f>
        <v>851516000</v>
      </c>
      <c r="G112" s="166">
        <f>'Office Major'!G124</f>
        <v>100606000</v>
      </c>
      <c r="H112" s="166">
        <f>'Office Major'!H124</f>
        <v>60</v>
      </c>
      <c r="K112" s="394"/>
    </row>
    <row r="113" spans="1:11" s="393" customFormat="1" ht="17.100000000000001" customHeight="1" x14ac:dyDescent="0.25">
      <c r="A113" s="166">
        <v>3</v>
      </c>
      <c r="B113" s="166" t="s">
        <v>85</v>
      </c>
      <c r="C113" s="517">
        <f>'Office Major'!C125</f>
        <v>6</v>
      </c>
      <c r="D113" s="517">
        <f>'Office Major'!D125</f>
        <v>86.47</v>
      </c>
      <c r="E113" s="517">
        <f>'Office Major'!E125</f>
        <v>136718</v>
      </c>
      <c r="F113" s="517">
        <f>'Office Major'!F125</f>
        <v>599508430</v>
      </c>
      <c r="G113" s="517">
        <f>'Office Major'!G125</f>
        <v>12235000</v>
      </c>
      <c r="H113" s="517">
        <f>'Office Major'!H125</f>
        <v>18</v>
      </c>
      <c r="K113" s="394"/>
    </row>
    <row r="114" spans="1:11" s="393" customFormat="1" ht="17.100000000000001" customHeight="1" x14ac:dyDescent="0.25">
      <c r="A114" s="1227" t="s">
        <v>158</v>
      </c>
      <c r="B114" s="1228"/>
      <c r="C114" s="518">
        <f t="shared" ref="C114:H114" si="13">SUM(C111:C113)</f>
        <v>10</v>
      </c>
      <c r="D114" s="518">
        <f t="shared" si="13"/>
        <v>1417.22</v>
      </c>
      <c r="E114" s="518">
        <f t="shared" si="13"/>
        <v>2069017</v>
      </c>
      <c r="F114" s="518">
        <f t="shared" si="13"/>
        <v>3924550830</v>
      </c>
      <c r="G114" s="518">
        <f t="shared" si="13"/>
        <v>582719000</v>
      </c>
      <c r="H114" s="518">
        <f t="shared" si="13"/>
        <v>1838</v>
      </c>
      <c r="K114" s="394"/>
    </row>
    <row r="115" spans="1:11" s="393" customFormat="1" ht="17.100000000000001" customHeight="1" x14ac:dyDescent="0.25">
      <c r="A115" s="519"/>
      <c r="B115" s="519"/>
      <c r="C115" s="519"/>
      <c r="D115" s="519"/>
      <c r="E115" s="519"/>
      <c r="F115" s="519"/>
      <c r="G115" s="519"/>
      <c r="H115" s="519"/>
      <c r="K115" s="394"/>
    </row>
    <row r="116" spans="1:11" s="393" customFormat="1" ht="17.100000000000001" customHeight="1" x14ac:dyDescent="0.25">
      <c r="A116" s="1233" t="s">
        <v>257</v>
      </c>
      <c r="B116" s="1233"/>
      <c r="C116" s="1233"/>
      <c r="D116" s="1233"/>
      <c r="E116" s="1233"/>
      <c r="F116" s="1233"/>
      <c r="G116" s="1233"/>
      <c r="H116" s="1233"/>
      <c r="K116" s="394"/>
    </row>
    <row r="117" spans="1:11" s="393" customFormat="1" ht="17.100000000000001" customHeight="1" x14ac:dyDescent="0.25">
      <c r="A117" s="1223" t="s">
        <v>2</v>
      </c>
      <c r="B117" s="1225" t="s">
        <v>3</v>
      </c>
      <c r="C117" s="1225" t="s">
        <v>4</v>
      </c>
      <c r="D117" s="68" t="s">
        <v>5</v>
      </c>
      <c r="E117" s="68" t="s">
        <v>6</v>
      </c>
      <c r="F117" s="68" t="s">
        <v>7</v>
      </c>
      <c r="G117" s="68" t="s">
        <v>8</v>
      </c>
      <c r="H117" s="68" t="s">
        <v>9</v>
      </c>
      <c r="K117" s="394"/>
    </row>
    <row r="118" spans="1:11" s="393" customFormat="1" ht="17.100000000000001" customHeight="1" x14ac:dyDescent="0.25">
      <c r="A118" s="1224"/>
      <c r="B118" s="1226"/>
      <c r="C118" s="1226"/>
      <c r="D118" s="69" t="s">
        <v>78</v>
      </c>
      <c r="E118" s="69" t="s">
        <v>79</v>
      </c>
      <c r="F118" s="69" t="s">
        <v>80</v>
      </c>
      <c r="G118" s="69" t="s">
        <v>80</v>
      </c>
      <c r="H118" s="69" t="s">
        <v>13</v>
      </c>
      <c r="K118" s="394"/>
    </row>
    <row r="119" spans="1:11" s="393" customFormat="1" ht="17.100000000000001" customHeight="1" x14ac:dyDescent="0.25">
      <c r="A119" s="166">
        <v>1</v>
      </c>
      <c r="B119" s="166" t="s">
        <v>397</v>
      </c>
      <c r="C119" s="166">
        <f>'Office Major'!C133</f>
        <v>1</v>
      </c>
      <c r="D119" s="166">
        <f>'Office Major'!D133</f>
        <v>195.7064</v>
      </c>
      <c r="E119" s="166">
        <f>'Office Major'!E133</f>
        <v>0</v>
      </c>
      <c r="F119" s="166">
        <f>'Office Major'!F133</f>
        <v>0</v>
      </c>
      <c r="G119" s="166">
        <f>'Office Major'!G133</f>
        <v>587121</v>
      </c>
      <c r="H119" s="166">
        <f>'Office Major'!H133</f>
        <v>0</v>
      </c>
      <c r="K119" s="394"/>
    </row>
    <row r="120" spans="1:11" s="393" customFormat="1" ht="17.100000000000001" customHeight="1" x14ac:dyDescent="0.25">
      <c r="A120" s="166"/>
      <c r="B120" s="166"/>
      <c r="C120" s="517">
        <v>0</v>
      </c>
      <c r="D120" s="517">
        <v>0</v>
      </c>
      <c r="E120" s="517">
        <v>0</v>
      </c>
      <c r="F120" s="517">
        <v>0</v>
      </c>
      <c r="G120" s="517">
        <v>0</v>
      </c>
      <c r="H120" s="517">
        <v>0</v>
      </c>
      <c r="K120" s="394"/>
    </row>
    <row r="121" spans="1:11" s="393" customFormat="1" ht="17.100000000000001" customHeight="1" x14ac:dyDescent="0.25">
      <c r="A121" s="1227" t="s">
        <v>158</v>
      </c>
      <c r="B121" s="1228"/>
      <c r="C121" s="518">
        <f t="shared" ref="C121:H121" si="14">SUM(C119:C120)</f>
        <v>1</v>
      </c>
      <c r="D121" s="518">
        <f t="shared" si="14"/>
        <v>195.7064</v>
      </c>
      <c r="E121" s="518">
        <f t="shared" si="14"/>
        <v>0</v>
      </c>
      <c r="F121" s="518">
        <f t="shared" si="14"/>
        <v>0</v>
      </c>
      <c r="G121" s="518">
        <f t="shared" si="14"/>
        <v>587121</v>
      </c>
      <c r="H121" s="518">
        <f t="shared" si="14"/>
        <v>0</v>
      </c>
      <c r="K121" s="394"/>
    </row>
    <row r="122" spans="1:11" s="393" customFormat="1" ht="17.100000000000001" customHeight="1" x14ac:dyDescent="0.25">
      <c r="A122" s="237"/>
      <c r="B122" s="500"/>
      <c r="C122" s="501"/>
      <c r="D122" s="502"/>
      <c r="E122" s="503"/>
      <c r="F122" s="503"/>
      <c r="G122" s="503"/>
      <c r="H122" s="504"/>
      <c r="K122" s="394"/>
    </row>
    <row r="123" spans="1:11" s="393" customFormat="1" ht="17.100000000000001" customHeight="1" x14ac:dyDescent="0.25">
      <c r="A123" s="1233" t="s">
        <v>258</v>
      </c>
      <c r="B123" s="1233"/>
      <c r="C123" s="1233"/>
      <c r="D123" s="1233"/>
      <c r="E123" s="1233"/>
      <c r="F123" s="1233"/>
      <c r="G123" s="1233"/>
      <c r="H123" s="1233"/>
      <c r="K123" s="394"/>
    </row>
    <row r="124" spans="1:11" s="393" customFormat="1" ht="17.100000000000001" customHeight="1" x14ac:dyDescent="0.25">
      <c r="A124" s="1223" t="s">
        <v>2</v>
      </c>
      <c r="B124" s="1225" t="s">
        <v>3</v>
      </c>
      <c r="C124" s="1225" t="s">
        <v>4</v>
      </c>
      <c r="D124" s="68" t="s">
        <v>5</v>
      </c>
      <c r="E124" s="68" t="s">
        <v>6</v>
      </c>
      <c r="F124" s="68" t="s">
        <v>7</v>
      </c>
      <c r="G124" s="68" t="s">
        <v>8</v>
      </c>
      <c r="H124" s="68" t="s">
        <v>9</v>
      </c>
      <c r="K124" s="394"/>
    </row>
    <row r="125" spans="1:11" s="393" customFormat="1" ht="17.100000000000001" customHeight="1" x14ac:dyDescent="0.25">
      <c r="A125" s="1229"/>
      <c r="B125" s="1230"/>
      <c r="C125" s="1226"/>
      <c r="D125" s="69" t="s">
        <v>78</v>
      </c>
      <c r="E125" s="69" t="s">
        <v>79</v>
      </c>
      <c r="F125" s="73" t="s">
        <v>80</v>
      </c>
      <c r="G125" s="73" t="s">
        <v>80</v>
      </c>
      <c r="H125" s="69" t="s">
        <v>13</v>
      </c>
      <c r="K125" s="394"/>
    </row>
    <row r="126" spans="1:11" s="393" customFormat="1" ht="17.100000000000001" customHeight="1" x14ac:dyDescent="0.25">
      <c r="A126" s="320">
        <v>1</v>
      </c>
      <c r="B126" s="317" t="s">
        <v>35</v>
      </c>
      <c r="C126" s="325">
        <f>'Office Major'!C186</f>
        <v>1</v>
      </c>
      <c r="D126" s="325">
        <f>'Office Major'!D186</f>
        <v>895.42</v>
      </c>
      <c r="E126" s="325">
        <f>'Office Major'!E186</f>
        <v>3278226</v>
      </c>
      <c r="F126" s="325">
        <f>'Office Major'!F186</f>
        <v>2294758200</v>
      </c>
      <c r="G126" s="325">
        <f>'Office Major'!G186</f>
        <v>256000000</v>
      </c>
      <c r="H126" s="325">
        <f>'Office Major'!H186</f>
        <v>168</v>
      </c>
      <c r="K126" s="394"/>
    </row>
    <row r="127" spans="1:11" s="393" customFormat="1" ht="17.100000000000001" customHeight="1" x14ac:dyDescent="0.25">
      <c r="A127" s="1221" t="s">
        <v>158</v>
      </c>
      <c r="B127" s="1222"/>
      <c r="C127" s="512">
        <f>SUM(C126:C126)</f>
        <v>1</v>
      </c>
      <c r="D127" s="512">
        <f t="shared" ref="D127:H127" si="15">SUM(D126:D126)</f>
        <v>895.42</v>
      </c>
      <c r="E127" s="512">
        <f t="shared" si="15"/>
        <v>3278226</v>
      </c>
      <c r="F127" s="512">
        <f t="shared" si="15"/>
        <v>2294758200</v>
      </c>
      <c r="G127" s="512">
        <f t="shared" si="15"/>
        <v>256000000</v>
      </c>
      <c r="H127" s="512">
        <f t="shared" si="15"/>
        <v>168</v>
      </c>
      <c r="K127" s="394"/>
    </row>
    <row r="128" spans="1:11" s="393" customFormat="1" ht="17.100000000000001" customHeight="1" x14ac:dyDescent="0.25">
      <c r="A128" s="513"/>
      <c r="B128" s="513"/>
      <c r="C128" s="513"/>
      <c r="D128" s="513"/>
      <c r="E128" s="513"/>
      <c r="F128" s="513"/>
      <c r="G128" s="513"/>
      <c r="H128" s="513"/>
      <c r="K128" s="394"/>
    </row>
    <row r="129" spans="1:17" s="393" customFormat="1" ht="17.100000000000001" customHeight="1" x14ac:dyDescent="0.25">
      <c r="A129" s="513"/>
      <c r="B129" s="513"/>
      <c r="C129" s="513"/>
      <c r="D129" s="513"/>
      <c r="E129" s="513"/>
      <c r="F129" s="513"/>
      <c r="G129" s="513"/>
      <c r="H129" s="513"/>
      <c r="K129" s="394"/>
    </row>
    <row r="130" spans="1:17" s="393" customFormat="1" ht="17.100000000000001" customHeight="1" x14ac:dyDescent="0.25">
      <c r="A130" s="1239" t="s">
        <v>259</v>
      </c>
      <c r="B130" s="1239"/>
      <c r="C130" s="1239"/>
      <c r="D130" s="1239"/>
      <c r="E130" s="1239"/>
      <c r="F130" s="1239"/>
      <c r="G130" s="1239"/>
      <c r="H130" s="1239"/>
      <c r="K130" s="394"/>
    </row>
    <row r="131" spans="1:17" s="393" customFormat="1" ht="17.100000000000001" customHeight="1" x14ac:dyDescent="0.25">
      <c r="A131" s="1223" t="s">
        <v>2</v>
      </c>
      <c r="B131" s="1225" t="s">
        <v>3</v>
      </c>
      <c r="C131" s="1225" t="s">
        <v>4</v>
      </c>
      <c r="D131" s="72" t="s">
        <v>5</v>
      </c>
      <c r="E131" s="72" t="s">
        <v>6</v>
      </c>
      <c r="F131" s="72" t="s">
        <v>7</v>
      </c>
      <c r="G131" s="72" t="s">
        <v>8</v>
      </c>
      <c r="H131" s="72" t="s">
        <v>9</v>
      </c>
      <c r="K131" s="394"/>
    </row>
    <row r="132" spans="1:17" s="393" customFormat="1" ht="17.100000000000001" customHeight="1" x14ac:dyDescent="0.25">
      <c r="A132" s="1229"/>
      <c r="B132" s="1230"/>
      <c r="C132" s="1230"/>
      <c r="D132" s="73" t="s">
        <v>78</v>
      </c>
      <c r="E132" s="73" t="s">
        <v>79</v>
      </c>
      <c r="F132" s="73" t="s">
        <v>80</v>
      </c>
      <c r="G132" s="73" t="s">
        <v>80</v>
      </c>
      <c r="H132" s="73" t="s">
        <v>13</v>
      </c>
      <c r="K132" s="394"/>
    </row>
    <row r="133" spans="1:17" s="393" customFormat="1" ht="17.100000000000001" customHeight="1" x14ac:dyDescent="0.25">
      <c r="A133" s="288">
        <v>1</v>
      </c>
      <c r="B133" s="289" t="s">
        <v>34</v>
      </c>
      <c r="C133" s="316">
        <f>'Office Major'!C155</f>
        <v>1</v>
      </c>
      <c r="D133" s="316">
        <f>'Office Major'!D155</f>
        <v>1063.3499999999999</v>
      </c>
      <c r="E133" s="316">
        <f>'Office Major'!E155</f>
        <v>10633.5</v>
      </c>
      <c r="F133" s="316">
        <f>'Office Major'!F155</f>
        <v>19671975</v>
      </c>
      <c r="G133" s="316">
        <f>'Office Major'!G155</f>
        <v>2126700</v>
      </c>
      <c r="H133" s="316">
        <f>'Office Major'!H155</f>
        <v>250</v>
      </c>
      <c r="K133" s="394"/>
    </row>
    <row r="134" spans="1:17" s="393" customFormat="1" ht="17.100000000000001" customHeight="1" x14ac:dyDescent="0.25">
      <c r="A134" s="288">
        <v>2</v>
      </c>
      <c r="B134" s="289" t="s">
        <v>35</v>
      </c>
      <c r="C134" s="316">
        <f>'Office Major'!C156+'Office Major'!C95</f>
        <v>9</v>
      </c>
      <c r="D134" s="316">
        <f>'Office Major'!D156+'Office Major'!D95</f>
        <v>3419.27</v>
      </c>
      <c r="E134" s="316">
        <f>'Office Major'!E156+'Office Major'!E95</f>
        <v>6157765.6100000003</v>
      </c>
      <c r="F134" s="316">
        <f>'Office Major'!F156+'Office Major'!F95</f>
        <v>4421188688</v>
      </c>
      <c r="G134" s="316">
        <f>'Office Major'!G156+'Office Major'!G95</f>
        <v>492621274</v>
      </c>
      <c r="H134" s="316">
        <f>'Office Major'!H156+'Office Major'!H95</f>
        <v>395</v>
      </c>
      <c r="K134" s="394"/>
    </row>
    <row r="135" spans="1:17" s="393" customFormat="1" ht="17.100000000000001" customHeight="1" x14ac:dyDescent="0.25">
      <c r="A135" s="1221" t="s">
        <v>158</v>
      </c>
      <c r="B135" s="1222"/>
      <c r="C135" s="511">
        <f>SUM(C133:C134)</f>
        <v>10</v>
      </c>
      <c r="D135" s="511">
        <f t="shared" ref="D135:H135" si="16">SUM(D133:D134)</f>
        <v>4482.62</v>
      </c>
      <c r="E135" s="511">
        <f t="shared" si="16"/>
        <v>6168399.1100000003</v>
      </c>
      <c r="F135" s="511">
        <f t="shared" si="16"/>
        <v>4440860663</v>
      </c>
      <c r="G135" s="511">
        <f t="shared" si="16"/>
        <v>494747974</v>
      </c>
      <c r="H135" s="511">
        <f t="shared" si="16"/>
        <v>645</v>
      </c>
      <c r="K135" s="394"/>
    </row>
    <row r="136" spans="1:17" s="393" customFormat="1" ht="17.100000000000001" customHeight="1" x14ac:dyDescent="0.25">
      <c r="A136" s="513"/>
      <c r="B136" s="513"/>
      <c r="C136" s="513"/>
      <c r="D136" s="513"/>
      <c r="E136" s="513"/>
      <c r="F136" s="513"/>
      <c r="G136" s="513"/>
      <c r="H136" s="513"/>
      <c r="K136" s="394"/>
    </row>
    <row r="137" spans="1:17" s="393" customFormat="1" ht="17.100000000000001" customHeight="1" x14ac:dyDescent="0.25">
      <c r="A137" s="1233" t="s">
        <v>260</v>
      </c>
      <c r="B137" s="1233"/>
      <c r="C137" s="1233"/>
      <c r="D137" s="1233"/>
      <c r="E137" s="1233"/>
      <c r="F137" s="1233"/>
      <c r="G137" s="1233"/>
      <c r="H137" s="1233"/>
      <c r="K137" s="394"/>
    </row>
    <row r="138" spans="1:17" s="393" customFormat="1" ht="17.100000000000001" customHeight="1" x14ac:dyDescent="0.25">
      <c r="A138" s="1223" t="s">
        <v>2</v>
      </c>
      <c r="B138" s="1225" t="s">
        <v>3</v>
      </c>
      <c r="C138" s="1225" t="s">
        <v>4</v>
      </c>
      <c r="D138" s="68" t="s">
        <v>5</v>
      </c>
      <c r="E138" s="68" t="s">
        <v>6</v>
      </c>
      <c r="F138" s="68" t="s">
        <v>7</v>
      </c>
      <c r="G138" s="68" t="s">
        <v>8</v>
      </c>
      <c r="H138" s="68" t="s">
        <v>9</v>
      </c>
      <c r="K138" s="394"/>
    </row>
    <row r="139" spans="1:17" s="393" customFormat="1" ht="17.100000000000001" customHeight="1" x14ac:dyDescent="0.25">
      <c r="A139" s="1229"/>
      <c r="B139" s="1230"/>
      <c r="C139" s="1226"/>
      <c r="D139" s="69" t="s">
        <v>78</v>
      </c>
      <c r="E139" s="69" t="s">
        <v>79</v>
      </c>
      <c r="F139" s="496" t="s">
        <v>80</v>
      </c>
      <c r="G139" s="496" t="s">
        <v>80</v>
      </c>
      <c r="H139" s="69" t="s">
        <v>13</v>
      </c>
      <c r="K139" s="394"/>
    </row>
    <row r="140" spans="1:17" s="393" customFormat="1" ht="17.100000000000001" customHeight="1" x14ac:dyDescent="0.25">
      <c r="A140" s="829">
        <v>1</v>
      </c>
      <c r="B140" s="830" t="s">
        <v>35</v>
      </c>
      <c r="C140" s="831">
        <f>'Office Major'!C208</f>
        <v>6</v>
      </c>
      <c r="D140" s="831">
        <f>'Office Major'!D208</f>
        <v>2641.34</v>
      </c>
      <c r="E140" s="831">
        <f>'Office Major'!E208</f>
        <v>25588726</v>
      </c>
      <c r="F140" s="831">
        <f>'Office Major'!F208</f>
        <v>16632672446</v>
      </c>
      <c r="G140" s="831">
        <f>'Office Major'!G208</f>
        <v>2134795320</v>
      </c>
      <c r="H140" s="831">
        <f>'Office Major'!H208</f>
        <v>350</v>
      </c>
      <c r="K140" s="394"/>
    </row>
    <row r="141" spans="1:17" s="393" customFormat="1" ht="17.100000000000001" customHeight="1" x14ac:dyDescent="0.25">
      <c r="A141" s="829">
        <v>2</v>
      </c>
      <c r="B141" s="832" t="s">
        <v>48</v>
      </c>
      <c r="C141" s="831">
        <f>'Office Major'!C209</f>
        <v>1</v>
      </c>
      <c r="D141" s="831">
        <f>'Office Major'!D209</f>
        <v>4</v>
      </c>
      <c r="E141" s="831">
        <f>'Office Major'!E209</f>
        <v>0</v>
      </c>
      <c r="F141" s="831">
        <f>'Office Major'!F209</f>
        <v>0</v>
      </c>
      <c r="G141" s="831">
        <f>'Office Major'!G209</f>
        <v>0</v>
      </c>
      <c r="H141" s="831">
        <f>'Office Major'!H209</f>
        <v>0</v>
      </c>
      <c r="K141" s="394"/>
    </row>
    <row r="142" spans="1:17" s="393" customFormat="1" ht="17.100000000000001" customHeight="1" x14ac:dyDescent="0.25">
      <c r="A142" s="829">
        <v>3</v>
      </c>
      <c r="B142" s="832" t="s">
        <v>36</v>
      </c>
      <c r="C142" s="831">
        <f>'Office Major'!C210</f>
        <v>1</v>
      </c>
      <c r="D142" s="831">
        <f>'Office Major'!D210</f>
        <v>10</v>
      </c>
      <c r="E142" s="831">
        <f>'Office Major'!E210</f>
        <v>312</v>
      </c>
      <c r="F142" s="831">
        <f>'Office Major'!F210</f>
        <v>250000</v>
      </c>
      <c r="G142" s="831">
        <f>'Office Major'!G210</f>
        <v>5000</v>
      </c>
      <c r="H142" s="831">
        <f>'Office Major'!H210</f>
        <v>0</v>
      </c>
      <c r="K142" s="394"/>
      <c r="L142" s="423"/>
      <c r="M142" s="423"/>
      <c r="N142" s="423"/>
      <c r="O142" s="423"/>
      <c r="P142" s="423"/>
      <c r="Q142" s="423"/>
    </row>
    <row r="143" spans="1:17" s="393" customFormat="1" ht="17.100000000000001" customHeight="1" x14ac:dyDescent="0.25">
      <c r="A143" s="1231" t="s">
        <v>158</v>
      </c>
      <c r="B143" s="1232"/>
      <c r="C143" s="68">
        <f>SUM(C140:C142)</f>
        <v>8</v>
      </c>
      <c r="D143" s="68">
        <f t="shared" ref="D143:H143" si="17">SUM(D140:D142)</f>
        <v>2655.34</v>
      </c>
      <c r="E143" s="68">
        <f t="shared" si="17"/>
        <v>25589038</v>
      </c>
      <c r="F143" s="68">
        <f t="shared" si="17"/>
        <v>16632922446</v>
      </c>
      <c r="G143" s="68">
        <f t="shared" si="17"/>
        <v>2134800320</v>
      </c>
      <c r="H143" s="68">
        <f t="shared" si="17"/>
        <v>350</v>
      </c>
      <c r="K143" s="394"/>
    </row>
    <row r="144" spans="1:17" s="393" customFormat="1" ht="17.100000000000001" customHeight="1" x14ac:dyDescent="0.25">
      <c r="A144" s="513"/>
      <c r="B144" s="513"/>
      <c r="C144" s="513"/>
      <c r="D144" s="513"/>
      <c r="E144" s="513"/>
      <c r="F144" s="513"/>
      <c r="G144" s="513"/>
      <c r="H144" s="513"/>
      <c r="K144" s="394"/>
    </row>
    <row r="145" spans="1:11" s="393" customFormat="1" ht="17.100000000000001" customHeight="1" x14ac:dyDescent="0.25">
      <c r="A145" s="1233" t="s">
        <v>262</v>
      </c>
      <c r="B145" s="1233"/>
      <c r="C145" s="1233"/>
      <c r="D145" s="1233"/>
      <c r="E145" s="1233"/>
      <c r="F145" s="1233"/>
      <c r="G145" s="1233"/>
      <c r="H145" s="1233"/>
      <c r="K145" s="394"/>
    </row>
    <row r="146" spans="1:11" s="393" customFormat="1" ht="17.100000000000001" customHeight="1" x14ac:dyDescent="0.25">
      <c r="A146" s="1223" t="s">
        <v>2</v>
      </c>
      <c r="B146" s="1225" t="s">
        <v>3</v>
      </c>
      <c r="C146" s="1225" t="s">
        <v>4</v>
      </c>
      <c r="D146" s="68" t="s">
        <v>5</v>
      </c>
      <c r="E146" s="68" t="s">
        <v>6</v>
      </c>
      <c r="F146" s="68" t="s">
        <v>7</v>
      </c>
      <c r="G146" s="68" t="s">
        <v>8</v>
      </c>
      <c r="H146" s="68" t="s">
        <v>9</v>
      </c>
      <c r="K146" s="394"/>
    </row>
    <row r="147" spans="1:11" s="393" customFormat="1" ht="17.100000000000001" customHeight="1" x14ac:dyDescent="0.25">
      <c r="A147" s="1229"/>
      <c r="B147" s="1230"/>
      <c r="C147" s="1226"/>
      <c r="D147" s="69" t="s">
        <v>78</v>
      </c>
      <c r="E147" s="69" t="s">
        <v>79</v>
      </c>
      <c r="F147" s="69" t="s">
        <v>80</v>
      </c>
      <c r="G147" s="69" t="s">
        <v>80</v>
      </c>
      <c r="H147" s="69" t="s">
        <v>13</v>
      </c>
      <c r="K147" s="394"/>
    </row>
    <row r="148" spans="1:11" s="393" customFormat="1" ht="17.100000000000001" customHeight="1" x14ac:dyDescent="0.25">
      <c r="A148" s="63">
        <v>1</v>
      </c>
      <c r="B148" s="274" t="s">
        <v>381</v>
      </c>
      <c r="C148" s="326">
        <f>'Office Major'!C175</f>
        <v>0</v>
      </c>
      <c r="D148" s="326">
        <f>'Office Major'!D175</f>
        <v>0</v>
      </c>
      <c r="E148" s="326">
        <f>'Office Major'!E175</f>
        <v>0</v>
      </c>
      <c r="F148" s="326">
        <f>'Office Major'!F175</f>
        <v>0</v>
      </c>
      <c r="G148" s="326">
        <f>'Office Major'!G175</f>
        <v>0</v>
      </c>
      <c r="H148" s="326">
        <f>'Office Major'!H175</f>
        <v>0</v>
      </c>
      <c r="K148" s="394"/>
    </row>
    <row r="149" spans="1:11" s="393" customFormat="1" ht="17.100000000000001" customHeight="1" x14ac:dyDescent="0.25">
      <c r="A149" s="63">
        <v>2</v>
      </c>
      <c r="B149" s="273" t="s">
        <v>173</v>
      </c>
      <c r="C149" s="326">
        <f>'Office Major'!C176</f>
        <v>3</v>
      </c>
      <c r="D149" s="326">
        <f>'Office Major'!D176</f>
        <v>1725.8225</v>
      </c>
      <c r="E149" s="326">
        <f>'Office Major'!E176</f>
        <v>218894</v>
      </c>
      <c r="F149" s="326">
        <f>'Office Major'!F176</f>
        <v>4706221000</v>
      </c>
      <c r="G149" s="326">
        <f>'Office Major'!G176</f>
        <v>173976000</v>
      </c>
      <c r="H149" s="326">
        <f>'Office Major'!H176</f>
        <v>22810</v>
      </c>
      <c r="K149" s="394"/>
    </row>
    <row r="150" spans="1:11" s="393" customFormat="1" ht="17.100000000000001" customHeight="1" x14ac:dyDescent="0.25">
      <c r="A150" s="63">
        <v>3</v>
      </c>
      <c r="B150" s="273" t="s">
        <v>174</v>
      </c>
      <c r="C150" s="326">
        <f>'Office Major'!C177</f>
        <v>0</v>
      </c>
      <c r="D150" s="326">
        <f>'Office Major'!D177</f>
        <v>0</v>
      </c>
      <c r="E150" s="326">
        <f>'Office Major'!E177</f>
        <v>845164</v>
      </c>
      <c r="F150" s="326">
        <f>'Office Major'!F177</f>
        <v>13522624000</v>
      </c>
      <c r="G150" s="326">
        <f>'Office Major'!G177</f>
        <v>6327004000</v>
      </c>
      <c r="H150" s="326">
        <f>'Office Major'!H177</f>
        <v>0</v>
      </c>
      <c r="K150" s="394"/>
    </row>
    <row r="151" spans="1:11" s="393" customFormat="1" ht="17.100000000000001" customHeight="1" x14ac:dyDescent="0.25">
      <c r="A151" s="63">
        <v>4</v>
      </c>
      <c r="B151" s="274" t="s">
        <v>93</v>
      </c>
      <c r="C151" s="326">
        <f>'Office Major'!C178</f>
        <v>0</v>
      </c>
      <c r="D151" s="326">
        <f>'Office Major'!D178</f>
        <v>0</v>
      </c>
      <c r="E151" s="326">
        <f>'Office Major'!E178</f>
        <v>513.55999999999995</v>
      </c>
      <c r="F151" s="326">
        <f>'Office Major'!F178</f>
        <v>35949199999.999992</v>
      </c>
      <c r="G151" s="326">
        <f>'Office Major'!G178</f>
        <v>2258726000</v>
      </c>
      <c r="H151" s="326">
        <f>'Office Major'!H178</f>
        <v>0</v>
      </c>
      <c r="K151" s="394"/>
    </row>
    <row r="152" spans="1:11" s="393" customFormat="1" ht="17.100000000000001" customHeight="1" x14ac:dyDescent="0.25">
      <c r="A152" s="63">
        <v>5</v>
      </c>
      <c r="B152" s="274" t="s">
        <v>15</v>
      </c>
      <c r="C152" s="326">
        <f>'Office Major'!C179</f>
        <v>0</v>
      </c>
      <c r="D152" s="326">
        <f>'Office Major'!D179</f>
        <v>0</v>
      </c>
      <c r="E152" s="326">
        <f>'Office Major'!E179</f>
        <v>0</v>
      </c>
      <c r="F152" s="326">
        <f>'Office Major'!F179</f>
        <v>0</v>
      </c>
      <c r="G152" s="326">
        <f>'Office Major'!G179</f>
        <v>0</v>
      </c>
      <c r="H152" s="326">
        <f>'Office Major'!H179</f>
        <v>0</v>
      </c>
      <c r="K152" s="394"/>
    </row>
    <row r="153" spans="1:11" s="393" customFormat="1" ht="17.100000000000001" customHeight="1" x14ac:dyDescent="0.25">
      <c r="A153" s="320">
        <v>6</v>
      </c>
      <c r="B153" s="274" t="s">
        <v>30</v>
      </c>
      <c r="C153" s="279">
        <f>'Office Major'!C8</f>
        <v>1</v>
      </c>
      <c r="D153" s="279">
        <f>'Office Major'!D8</f>
        <v>4.3636999999999997</v>
      </c>
      <c r="E153" s="279">
        <f>'Office Major'!E8</f>
        <v>1050</v>
      </c>
      <c r="F153" s="279">
        <f>'Office Major'!F8</f>
        <v>4305000</v>
      </c>
      <c r="G153" s="279">
        <f>'Office Major'!G8</f>
        <v>172200</v>
      </c>
      <c r="H153" s="279">
        <f>'Office Major'!H8</f>
        <v>0</v>
      </c>
      <c r="K153" s="394"/>
    </row>
    <row r="154" spans="1:11" s="393" customFormat="1" ht="17.100000000000001" customHeight="1" x14ac:dyDescent="0.25">
      <c r="A154" s="1231" t="s">
        <v>158</v>
      </c>
      <c r="B154" s="1232"/>
      <c r="C154" s="497">
        <f>SUM(C148:C153)</f>
        <v>4</v>
      </c>
      <c r="D154" s="498">
        <f t="shared" ref="D154:H154" si="18">SUM(D148:D153)</f>
        <v>1730.1862000000001</v>
      </c>
      <c r="E154" s="497">
        <f t="shared" si="18"/>
        <v>1065621.56</v>
      </c>
      <c r="F154" s="497">
        <f t="shared" si="18"/>
        <v>54182349999.999992</v>
      </c>
      <c r="G154" s="499">
        <f t="shared" si="18"/>
        <v>8759878200</v>
      </c>
      <c r="H154" s="497">
        <f t="shared" si="18"/>
        <v>22810</v>
      </c>
      <c r="K154" s="394"/>
    </row>
    <row r="155" spans="1:11" s="393" customFormat="1" ht="17.100000000000001" customHeight="1" x14ac:dyDescent="0.25">
      <c r="A155" s="513"/>
      <c r="B155" s="513"/>
      <c r="C155" s="513"/>
      <c r="D155" s="513"/>
      <c r="E155" s="513"/>
      <c r="F155" s="513"/>
      <c r="G155" s="513"/>
      <c r="H155" s="513"/>
      <c r="K155" s="394"/>
    </row>
    <row r="156" spans="1:11" s="393" customFormat="1" ht="17.100000000000001" customHeight="1" x14ac:dyDescent="0.25">
      <c r="A156" s="1233" t="s">
        <v>264</v>
      </c>
      <c r="B156" s="1233"/>
      <c r="C156" s="1233"/>
      <c r="D156" s="1233"/>
      <c r="E156" s="1233"/>
      <c r="F156" s="1233"/>
      <c r="G156" s="1233"/>
      <c r="H156" s="1233"/>
      <c r="K156" s="394"/>
    </row>
    <row r="157" spans="1:11" s="393" customFormat="1" ht="17.100000000000001" customHeight="1" x14ac:dyDescent="0.25">
      <c r="A157" s="1223" t="s">
        <v>2</v>
      </c>
      <c r="B157" s="1225" t="s">
        <v>3</v>
      </c>
      <c r="C157" s="1225" t="s">
        <v>4</v>
      </c>
      <c r="D157" s="68" t="s">
        <v>5</v>
      </c>
      <c r="E157" s="68" t="s">
        <v>6</v>
      </c>
      <c r="F157" s="68" t="s">
        <v>7</v>
      </c>
      <c r="G157" s="68" t="s">
        <v>8</v>
      </c>
      <c r="H157" s="68" t="s">
        <v>9</v>
      </c>
      <c r="K157" s="394"/>
    </row>
    <row r="158" spans="1:11" s="393" customFormat="1" ht="17.100000000000001" customHeight="1" x14ac:dyDescent="0.25">
      <c r="A158" s="1229"/>
      <c r="B158" s="1230"/>
      <c r="C158" s="1230"/>
      <c r="D158" s="69" t="s">
        <v>78</v>
      </c>
      <c r="E158" s="69" t="s">
        <v>79</v>
      </c>
      <c r="F158" s="69" t="s">
        <v>80</v>
      </c>
      <c r="G158" s="69" t="s">
        <v>80</v>
      </c>
      <c r="H158" s="75" t="s">
        <v>13</v>
      </c>
      <c r="K158" s="394"/>
    </row>
    <row r="159" spans="1:11" s="393" customFormat="1" ht="17.100000000000001" customHeight="1" x14ac:dyDescent="0.25">
      <c r="A159" s="63">
        <v>1</v>
      </c>
      <c r="B159" s="63" t="s">
        <v>35</v>
      </c>
      <c r="C159" s="324">
        <f>'Office Major'!C168</f>
        <v>0</v>
      </c>
      <c r="D159" s="324">
        <f>'Office Major'!D168</f>
        <v>0</v>
      </c>
      <c r="E159" s="324">
        <f>'Office Major'!E168</f>
        <v>0</v>
      </c>
      <c r="F159" s="324">
        <f>'Office Major'!F168</f>
        <v>0</v>
      </c>
      <c r="G159" s="324">
        <f>'Office Major'!G168</f>
        <v>0</v>
      </c>
      <c r="H159" s="324">
        <f>'Office Major'!H168</f>
        <v>0</v>
      </c>
      <c r="K159" s="394"/>
    </row>
    <row r="160" spans="1:11" s="393" customFormat="1" ht="17.100000000000001" customHeight="1" x14ac:dyDescent="0.25">
      <c r="A160" s="63">
        <v>2</v>
      </c>
      <c r="B160" s="63" t="s">
        <v>17</v>
      </c>
      <c r="C160" s="324">
        <f>'Office Major'!C169</f>
        <v>3</v>
      </c>
      <c r="D160" s="324">
        <f>'Office Major'!D169</f>
        <v>229.03</v>
      </c>
      <c r="E160" s="324">
        <f>'Office Major'!E169</f>
        <v>143379</v>
      </c>
      <c r="F160" s="324">
        <f>'Office Major'!F169</f>
        <v>659543400</v>
      </c>
      <c r="G160" s="324">
        <f>'Office Major'!G169</f>
        <v>13537417</v>
      </c>
      <c r="H160" s="324">
        <f>'Office Major'!H169</f>
        <v>50</v>
      </c>
      <c r="K160" s="394"/>
    </row>
    <row r="161" spans="1:11" s="393" customFormat="1" ht="17.100000000000001" customHeight="1" x14ac:dyDescent="0.25">
      <c r="A161" s="1255" t="s">
        <v>158</v>
      </c>
      <c r="B161" s="1256"/>
      <c r="C161" s="514">
        <f t="shared" ref="C161:H161" si="19">SUM(C159:C160)</f>
        <v>3</v>
      </c>
      <c r="D161" s="515">
        <f t="shared" si="19"/>
        <v>229.03</v>
      </c>
      <c r="E161" s="516">
        <f t="shared" si="19"/>
        <v>143379</v>
      </c>
      <c r="F161" s="516">
        <f t="shared" si="19"/>
        <v>659543400</v>
      </c>
      <c r="G161" s="516">
        <f t="shared" si="19"/>
        <v>13537417</v>
      </c>
      <c r="H161" s="514">
        <f t="shared" si="19"/>
        <v>50</v>
      </c>
      <c r="K161" s="394"/>
    </row>
    <row r="162" spans="1:11" s="393" customFormat="1" ht="17.100000000000001" customHeight="1" x14ac:dyDescent="0.25">
      <c r="A162" s="237"/>
      <c r="B162" s="237"/>
      <c r="C162" s="520"/>
      <c r="D162" s="520"/>
      <c r="E162" s="520"/>
      <c r="F162" s="520"/>
      <c r="G162" s="521"/>
      <c r="H162" s="520"/>
      <c r="K162" s="394"/>
    </row>
    <row r="163" spans="1:11" s="393" customFormat="1" ht="17.100000000000001" customHeight="1" x14ac:dyDescent="0.25">
      <c r="A163" s="1233" t="s">
        <v>265</v>
      </c>
      <c r="B163" s="1233"/>
      <c r="C163" s="1233"/>
      <c r="D163" s="1233"/>
      <c r="E163" s="1233"/>
      <c r="F163" s="1233"/>
      <c r="G163" s="1233"/>
      <c r="H163" s="1233"/>
      <c r="K163" s="394"/>
    </row>
    <row r="164" spans="1:11" s="393" customFormat="1" ht="17.100000000000001" customHeight="1" x14ac:dyDescent="0.25">
      <c r="A164" s="1223" t="s">
        <v>2</v>
      </c>
      <c r="B164" s="1225" t="s">
        <v>3</v>
      </c>
      <c r="C164" s="1225" t="s">
        <v>4</v>
      </c>
      <c r="D164" s="68" t="s">
        <v>5</v>
      </c>
      <c r="E164" s="68" t="s">
        <v>6</v>
      </c>
      <c r="F164" s="68" t="s">
        <v>7</v>
      </c>
      <c r="G164" s="68" t="s">
        <v>8</v>
      </c>
      <c r="H164" s="68" t="s">
        <v>9</v>
      </c>
      <c r="K164" s="394"/>
    </row>
    <row r="165" spans="1:11" s="393" customFormat="1" ht="17.100000000000001" customHeight="1" x14ac:dyDescent="0.25">
      <c r="A165" s="1229"/>
      <c r="B165" s="1230"/>
      <c r="C165" s="1226"/>
      <c r="D165" s="69" t="s">
        <v>78</v>
      </c>
      <c r="E165" s="69" t="s">
        <v>79</v>
      </c>
      <c r="F165" s="496" t="s">
        <v>80</v>
      </c>
      <c r="G165" s="496" t="s">
        <v>80</v>
      </c>
      <c r="H165" s="69" t="s">
        <v>13</v>
      </c>
      <c r="K165" s="394"/>
    </row>
    <row r="166" spans="1:11" s="393" customFormat="1" ht="17.100000000000001" customHeight="1" x14ac:dyDescent="0.25">
      <c r="A166" s="63">
        <v>1</v>
      </c>
      <c r="B166" s="63" t="s">
        <v>35</v>
      </c>
      <c r="C166" s="325">
        <f>'Office Major'!C199</f>
        <v>5</v>
      </c>
      <c r="D166" s="325">
        <f>'Office Major'!D199</f>
        <v>1124.01</v>
      </c>
      <c r="E166" s="325">
        <f>'Office Major'!E199</f>
        <v>12697793</v>
      </c>
      <c r="F166" s="325">
        <f>'Office Major'!F199</f>
        <v>8888455100</v>
      </c>
      <c r="G166" s="325">
        <f>'Office Major'!G199</f>
        <v>1016640000</v>
      </c>
      <c r="H166" s="325">
        <f>'Office Major'!H199</f>
        <v>960</v>
      </c>
      <c r="K166" s="394"/>
    </row>
    <row r="167" spans="1:11" s="393" customFormat="1" ht="17.100000000000001" customHeight="1" x14ac:dyDescent="0.25">
      <c r="A167" s="63">
        <v>2</v>
      </c>
      <c r="B167" s="63" t="s">
        <v>48</v>
      </c>
      <c r="C167" s="325">
        <f>'Office Major'!C200</f>
        <v>1</v>
      </c>
      <c r="D167" s="325">
        <f>'Office Major'!D200</f>
        <v>49.48</v>
      </c>
      <c r="E167" s="325">
        <f>'Office Major'!E200</f>
        <v>93284</v>
      </c>
      <c r="F167" s="325">
        <f>'Office Major'!F200</f>
        <v>128824941</v>
      </c>
      <c r="G167" s="325">
        <f>'Office Major'!G200</f>
        <v>8900000</v>
      </c>
      <c r="H167" s="325">
        <f>'Office Major'!H200</f>
        <v>10</v>
      </c>
      <c r="K167" s="394"/>
    </row>
    <row r="168" spans="1:11" s="393" customFormat="1" ht="17.100000000000001" customHeight="1" x14ac:dyDescent="0.25">
      <c r="A168" s="63">
        <v>3</v>
      </c>
      <c r="B168" s="63" t="s">
        <v>652</v>
      </c>
      <c r="C168" s="325">
        <f>'Office Major'!C201</f>
        <v>1</v>
      </c>
      <c r="D168" s="325">
        <f>'Office Major'!D201</f>
        <v>63</v>
      </c>
      <c r="E168" s="325">
        <f>'Office Major'!E201</f>
        <v>3028</v>
      </c>
      <c r="F168" s="325">
        <f>'Office Major'!F201</f>
        <v>756822</v>
      </c>
      <c r="G168" s="325">
        <f>'Office Major'!G201</f>
        <v>378000</v>
      </c>
      <c r="H168" s="325">
        <f>'Office Major'!H201</f>
        <v>0</v>
      </c>
      <c r="K168" s="394"/>
    </row>
    <row r="169" spans="1:11" s="393" customFormat="1" ht="17.100000000000001" customHeight="1" x14ac:dyDescent="0.25">
      <c r="A169" s="63">
        <v>4</v>
      </c>
      <c r="B169" s="63" t="s">
        <v>29</v>
      </c>
      <c r="C169" s="325">
        <f>'Office Major'!C202</f>
        <v>1</v>
      </c>
      <c r="D169" s="325">
        <f>'Office Major'!D202</f>
        <v>167.62</v>
      </c>
      <c r="E169" s="325">
        <f>'Office Major'!E202</f>
        <v>0</v>
      </c>
      <c r="F169" s="325">
        <f>'Office Major'!F202</f>
        <v>0</v>
      </c>
      <c r="G169" s="325">
        <f>'Office Major'!G202</f>
        <v>0</v>
      </c>
      <c r="H169" s="325">
        <f>'Office Major'!H202</f>
        <v>0</v>
      </c>
      <c r="K169" s="394"/>
    </row>
    <row r="170" spans="1:11" s="393" customFormat="1" ht="17.100000000000001" customHeight="1" x14ac:dyDescent="0.25">
      <c r="A170" s="1231" t="s">
        <v>158</v>
      </c>
      <c r="B170" s="1232"/>
      <c r="C170" s="497">
        <f>SUM(C166:C169)</f>
        <v>8</v>
      </c>
      <c r="D170" s="497">
        <f t="shared" ref="D170:H170" si="20">SUM(D166:D169)</f>
        <v>1404.1100000000001</v>
      </c>
      <c r="E170" s="497">
        <f t="shared" si="20"/>
        <v>12794105</v>
      </c>
      <c r="F170" s="497">
        <f t="shared" si="20"/>
        <v>9018036863</v>
      </c>
      <c r="G170" s="497">
        <f t="shared" si="20"/>
        <v>1025918000</v>
      </c>
      <c r="H170" s="497">
        <f t="shared" si="20"/>
        <v>970</v>
      </c>
      <c r="K170" s="394"/>
    </row>
    <row r="171" spans="1:11" s="393" customFormat="1" ht="17.100000000000001" customHeight="1" x14ac:dyDescent="0.25">
      <c r="A171" s="513"/>
      <c r="B171" s="513"/>
      <c r="C171" s="513"/>
      <c r="D171" s="513"/>
      <c r="E171" s="513"/>
      <c r="F171" s="513"/>
      <c r="G171" s="513"/>
      <c r="H171" s="513"/>
      <c r="K171" s="394"/>
    </row>
    <row r="172" spans="1:11" s="393" customFormat="1" ht="17.100000000000001" customHeight="1" x14ac:dyDescent="0.25">
      <c r="A172" s="1233" t="s">
        <v>266</v>
      </c>
      <c r="B172" s="1233"/>
      <c r="C172" s="1233"/>
      <c r="D172" s="1233"/>
      <c r="E172" s="1233"/>
      <c r="F172" s="1233"/>
      <c r="G172" s="1233"/>
      <c r="H172" s="1233"/>
      <c r="K172" s="394"/>
    </row>
    <row r="173" spans="1:11" s="393" customFormat="1" ht="17.100000000000001" customHeight="1" x14ac:dyDescent="0.25">
      <c r="A173" s="1223" t="s">
        <v>2</v>
      </c>
      <c r="B173" s="1225" t="s">
        <v>3</v>
      </c>
      <c r="C173" s="1225" t="s">
        <v>4</v>
      </c>
      <c r="D173" s="68" t="s">
        <v>5</v>
      </c>
      <c r="E173" s="68" t="s">
        <v>6</v>
      </c>
      <c r="F173" s="68" t="s">
        <v>7</v>
      </c>
      <c r="G173" s="68" t="s">
        <v>8</v>
      </c>
      <c r="H173" s="68" t="s">
        <v>9</v>
      </c>
      <c r="K173" s="394"/>
    </row>
    <row r="174" spans="1:11" s="393" customFormat="1" ht="17.100000000000001" customHeight="1" x14ac:dyDescent="0.25">
      <c r="A174" s="1229"/>
      <c r="B174" s="1230"/>
      <c r="C174" s="1230"/>
      <c r="D174" s="69" t="s">
        <v>78</v>
      </c>
      <c r="E174" s="69" t="s">
        <v>79</v>
      </c>
      <c r="F174" s="496" t="s">
        <v>80</v>
      </c>
      <c r="G174" s="496" t="s">
        <v>80</v>
      </c>
      <c r="H174" s="69" t="s">
        <v>13</v>
      </c>
      <c r="K174" s="394"/>
    </row>
    <row r="175" spans="1:11" s="393" customFormat="1" ht="17.100000000000001" customHeight="1" x14ac:dyDescent="0.25">
      <c r="A175" s="63">
        <v>1</v>
      </c>
      <c r="B175" s="274" t="s">
        <v>130</v>
      </c>
      <c r="C175" s="320">
        <f>'Office Major'!C216</f>
        <v>5</v>
      </c>
      <c r="D175" s="320">
        <f>'Office Major'!D216</f>
        <v>24.76</v>
      </c>
      <c r="E175" s="320">
        <f>'Office Major'!E216</f>
        <v>904</v>
      </c>
      <c r="F175" s="320">
        <f>'Office Major'!F216</f>
        <v>3750000</v>
      </c>
      <c r="G175" s="320">
        <f>'Office Major'!G216</f>
        <v>150000</v>
      </c>
      <c r="H175" s="320">
        <f>'Office Major'!H216</f>
        <v>0</v>
      </c>
      <c r="K175" s="394"/>
    </row>
    <row r="176" spans="1:11" s="393" customFormat="1" ht="17.100000000000001" customHeight="1" x14ac:dyDescent="0.25">
      <c r="A176" s="1231" t="s">
        <v>158</v>
      </c>
      <c r="B176" s="1232"/>
      <c r="C176" s="497">
        <f t="shared" ref="C176:H176" si="21">SUM(C175:C175)</f>
        <v>5</v>
      </c>
      <c r="D176" s="522">
        <f t="shared" si="21"/>
        <v>24.76</v>
      </c>
      <c r="E176" s="497">
        <f t="shared" si="21"/>
        <v>904</v>
      </c>
      <c r="F176" s="497">
        <f t="shared" si="21"/>
        <v>3750000</v>
      </c>
      <c r="G176" s="499">
        <f t="shared" si="21"/>
        <v>150000</v>
      </c>
      <c r="H176" s="497">
        <f t="shared" si="21"/>
        <v>0</v>
      </c>
      <c r="K176" s="394"/>
    </row>
    <row r="177" spans="1:11" s="393" customFormat="1" ht="17.100000000000001" customHeight="1" x14ac:dyDescent="0.25">
      <c r="A177" s="237"/>
      <c r="B177" s="237"/>
      <c r="C177" s="520"/>
      <c r="D177" s="520"/>
      <c r="E177" s="520"/>
      <c r="F177" s="520"/>
      <c r="G177" s="521"/>
      <c r="H177" s="520"/>
      <c r="K177" s="394"/>
    </row>
    <row r="178" spans="1:11" s="393" customFormat="1" ht="17.100000000000001" customHeight="1" x14ac:dyDescent="0.25">
      <c r="A178" s="1233" t="s">
        <v>267</v>
      </c>
      <c r="B178" s="1233"/>
      <c r="C178" s="1233"/>
      <c r="D178" s="1233"/>
      <c r="E178" s="1233"/>
      <c r="F178" s="1233"/>
      <c r="G178" s="1233"/>
      <c r="H178" s="1233"/>
      <c r="K178" s="394"/>
    </row>
    <row r="179" spans="1:11" s="393" customFormat="1" ht="17.100000000000001" customHeight="1" x14ac:dyDescent="0.25">
      <c r="A179" s="1223" t="s">
        <v>2</v>
      </c>
      <c r="B179" s="1225" t="s">
        <v>3</v>
      </c>
      <c r="C179" s="1225" t="s">
        <v>4</v>
      </c>
      <c r="D179" s="68" t="s">
        <v>5</v>
      </c>
      <c r="E179" s="68" t="s">
        <v>6</v>
      </c>
      <c r="F179" s="68" t="s">
        <v>7</v>
      </c>
      <c r="G179" s="68" t="s">
        <v>8</v>
      </c>
      <c r="H179" s="68" t="s">
        <v>9</v>
      </c>
      <c r="K179" s="394"/>
    </row>
    <row r="180" spans="1:11" s="393" customFormat="1" ht="17.100000000000001" customHeight="1" x14ac:dyDescent="0.25">
      <c r="A180" s="1229"/>
      <c r="B180" s="1230"/>
      <c r="C180" s="1230"/>
      <c r="D180" s="75" t="s">
        <v>78</v>
      </c>
      <c r="E180" s="75" t="s">
        <v>79</v>
      </c>
      <c r="F180" s="75" t="s">
        <v>80</v>
      </c>
      <c r="G180" s="75" t="s">
        <v>80</v>
      </c>
      <c r="H180" s="75" t="s">
        <v>13</v>
      </c>
      <c r="K180" s="394"/>
    </row>
    <row r="181" spans="1:11" s="393" customFormat="1" ht="17.100000000000001" customHeight="1" x14ac:dyDescent="0.25">
      <c r="A181" s="63">
        <v>1</v>
      </c>
      <c r="B181" s="63" t="s">
        <v>18</v>
      </c>
      <c r="C181" s="321">
        <f>'Office Major'!C222</f>
        <v>0</v>
      </c>
      <c r="D181" s="321">
        <f>'Office Major'!D222</f>
        <v>0</v>
      </c>
      <c r="E181" s="321">
        <f>'Office Major'!E222</f>
        <v>91296</v>
      </c>
      <c r="F181" s="321">
        <f>'Office Major'!F222</f>
        <v>1962864000</v>
      </c>
      <c r="G181" s="321">
        <f>'Office Major'!G222</f>
        <v>1622361244</v>
      </c>
      <c r="H181" s="321">
        <f>'Office Major'!H222</f>
        <v>0</v>
      </c>
      <c r="K181" s="394"/>
    </row>
    <row r="182" spans="1:11" s="393" customFormat="1" ht="17.100000000000001" customHeight="1" x14ac:dyDescent="0.25">
      <c r="A182" s="63">
        <v>2</v>
      </c>
      <c r="B182" s="203" t="s">
        <v>19</v>
      </c>
      <c r="C182" s="321">
        <f>'Office Major'!C223</f>
        <v>1</v>
      </c>
      <c r="D182" s="321">
        <f>'Office Major'!D223</f>
        <v>3620</v>
      </c>
      <c r="E182" s="321">
        <f>'Office Major'!E223</f>
        <v>197120</v>
      </c>
      <c r="F182" s="321">
        <f>'Office Major'!F223</f>
        <v>3153920000</v>
      </c>
      <c r="G182" s="321">
        <f>'Office Major'!G223</f>
        <v>2442350509</v>
      </c>
      <c r="H182" s="321">
        <f>'Office Major'!H223</f>
        <v>2170</v>
      </c>
      <c r="K182" s="394"/>
    </row>
    <row r="183" spans="1:11" s="393" customFormat="1" ht="17.100000000000001" customHeight="1" x14ac:dyDescent="0.25">
      <c r="A183" s="63">
        <v>3</v>
      </c>
      <c r="B183" s="63" t="s">
        <v>381</v>
      </c>
      <c r="C183" s="321">
        <f>'Office Major'!C224</f>
        <v>0</v>
      </c>
      <c r="D183" s="321">
        <f>'Office Major'!D224</f>
        <v>0</v>
      </c>
      <c r="E183" s="321">
        <f>'Office Major'!E224</f>
        <v>0</v>
      </c>
      <c r="F183" s="321">
        <f>'Office Major'!F224</f>
        <v>0</v>
      </c>
      <c r="G183" s="321">
        <f>'Office Major'!G224</f>
        <v>0</v>
      </c>
      <c r="H183" s="321">
        <f>'Office Major'!H224</f>
        <v>0</v>
      </c>
      <c r="K183" s="394"/>
    </row>
    <row r="184" spans="1:11" s="393" customFormat="1" ht="17.100000000000001" customHeight="1" x14ac:dyDescent="0.25">
      <c r="A184" s="63">
        <v>4</v>
      </c>
      <c r="B184" s="63" t="s">
        <v>93</v>
      </c>
      <c r="C184" s="321">
        <f>'Office Major'!C225</f>
        <v>0</v>
      </c>
      <c r="D184" s="321">
        <f>'Office Major'!D225</f>
        <v>0</v>
      </c>
      <c r="E184" s="321">
        <f>'Office Major'!E225</f>
        <v>103.675</v>
      </c>
      <c r="F184" s="321">
        <f>'Office Major'!F225</f>
        <v>7257250000</v>
      </c>
      <c r="G184" s="321">
        <f>'Office Major'!G225</f>
        <v>442625200</v>
      </c>
      <c r="H184" s="321">
        <f>'Office Major'!H225</f>
        <v>0</v>
      </c>
      <c r="K184" s="394"/>
    </row>
    <row r="185" spans="1:11" s="393" customFormat="1" ht="17.100000000000001" customHeight="1" x14ac:dyDescent="0.25">
      <c r="A185" s="63">
        <v>5</v>
      </c>
      <c r="B185" s="63" t="s">
        <v>42</v>
      </c>
      <c r="C185" s="321">
        <f>'Office Major'!C226</f>
        <v>1</v>
      </c>
      <c r="D185" s="321">
        <f>'Office Major'!D226</f>
        <v>1370.37</v>
      </c>
      <c r="E185" s="321">
        <f>'Office Major'!E226</f>
        <v>1004653</v>
      </c>
      <c r="F185" s="321">
        <f>'Office Major'!F226</f>
        <v>2059538650</v>
      </c>
      <c r="G185" s="321">
        <f>'Office Major'!G226</f>
        <v>1504458298</v>
      </c>
      <c r="H185" s="321">
        <f>'Office Major'!H226</f>
        <v>980</v>
      </c>
      <c r="K185" s="394"/>
    </row>
    <row r="186" spans="1:11" s="393" customFormat="1" ht="17.100000000000001" customHeight="1" x14ac:dyDescent="0.25">
      <c r="A186" s="63">
        <v>6</v>
      </c>
      <c r="B186" s="493" t="s">
        <v>396</v>
      </c>
      <c r="C186" s="321">
        <f>'Office Major'!C227</f>
        <v>1</v>
      </c>
      <c r="D186" s="321">
        <f>'Office Major'!D227</f>
        <v>123.2</v>
      </c>
      <c r="E186" s="321">
        <f>'Office Major'!E227</f>
        <v>0</v>
      </c>
      <c r="F186" s="321">
        <f>'Office Major'!F227</f>
        <v>0</v>
      </c>
      <c r="G186" s="321">
        <f>'Office Major'!G227</f>
        <v>251400</v>
      </c>
      <c r="H186" s="321">
        <f>'Office Major'!H227</f>
        <v>0</v>
      </c>
      <c r="K186" s="394"/>
    </row>
    <row r="187" spans="1:11" s="393" customFormat="1" ht="17.100000000000001" customHeight="1" x14ac:dyDescent="0.25">
      <c r="A187" s="63">
        <v>7</v>
      </c>
      <c r="B187" s="63" t="s">
        <v>15</v>
      </c>
      <c r="C187" s="321">
        <f>'Office Major'!C228</f>
        <v>0</v>
      </c>
      <c r="D187" s="321">
        <f>'Office Major'!D228</f>
        <v>0</v>
      </c>
      <c r="E187" s="321">
        <f>'Office Major'!E228</f>
        <v>0</v>
      </c>
      <c r="F187" s="321">
        <f>'Office Major'!F228</f>
        <v>0</v>
      </c>
      <c r="G187" s="321">
        <f>'Office Major'!G228</f>
        <v>0</v>
      </c>
      <c r="H187" s="321">
        <f>'Office Major'!H228</f>
        <v>0</v>
      </c>
      <c r="K187" s="394"/>
    </row>
    <row r="188" spans="1:11" s="393" customFormat="1" ht="17.100000000000001" customHeight="1" x14ac:dyDescent="0.25">
      <c r="A188" s="63">
        <v>8</v>
      </c>
      <c r="B188" s="494" t="s">
        <v>48</v>
      </c>
      <c r="C188" s="321">
        <f>'Office Major'!C229</f>
        <v>1</v>
      </c>
      <c r="D188" s="321">
        <f>'Office Major'!D229</f>
        <v>112.5</v>
      </c>
      <c r="E188" s="321">
        <f>'Office Major'!E229</f>
        <v>0</v>
      </c>
      <c r="F188" s="321">
        <f>'Office Major'!F229</f>
        <v>0</v>
      </c>
      <c r="G188" s="321">
        <f>'Office Major'!G229</f>
        <v>0</v>
      </c>
      <c r="H188" s="321">
        <f>'Office Major'!H229</f>
        <v>0</v>
      </c>
      <c r="K188" s="394"/>
    </row>
    <row r="189" spans="1:11" s="393" customFormat="1" ht="17.100000000000001" customHeight="1" x14ac:dyDescent="0.25">
      <c r="A189" s="63">
        <v>9</v>
      </c>
      <c r="B189" s="273" t="s">
        <v>397</v>
      </c>
      <c r="C189" s="321">
        <f>'Office Major'!C230</f>
        <v>2</v>
      </c>
      <c r="D189" s="321">
        <f>'Office Major'!D230</f>
        <v>918.27</v>
      </c>
      <c r="E189" s="321">
        <f>'Office Major'!E230</f>
        <v>2913083</v>
      </c>
      <c r="F189" s="321">
        <f>'Office Major'!F230</f>
        <v>2039158100</v>
      </c>
      <c r="G189" s="321">
        <f>'Office Major'!G230</f>
        <v>233259940</v>
      </c>
      <c r="H189" s="321">
        <f>'Office Major'!H230</f>
        <v>165</v>
      </c>
      <c r="K189" s="394"/>
    </row>
    <row r="190" spans="1:11" s="393" customFormat="1" ht="17.100000000000001" customHeight="1" x14ac:dyDescent="0.25">
      <c r="A190" s="63">
        <v>10</v>
      </c>
      <c r="B190" s="494" t="s">
        <v>33</v>
      </c>
      <c r="C190" s="321">
        <f>'Office Major'!C231</f>
        <v>0</v>
      </c>
      <c r="D190" s="321">
        <f>'Office Major'!D231</f>
        <v>0</v>
      </c>
      <c r="E190" s="321">
        <f>'Office Major'!E231</f>
        <v>0</v>
      </c>
      <c r="F190" s="321">
        <f>'Office Major'!F231</f>
        <v>0</v>
      </c>
      <c r="G190" s="321">
        <f>'Office Major'!G231</f>
        <v>0</v>
      </c>
      <c r="H190" s="321">
        <f>'Office Major'!H231</f>
        <v>0</v>
      </c>
      <c r="K190" s="394"/>
    </row>
    <row r="191" spans="1:11" s="393" customFormat="1" ht="17.100000000000001" customHeight="1" x14ac:dyDescent="0.25">
      <c r="A191" s="63">
        <v>11</v>
      </c>
      <c r="B191" s="494" t="s">
        <v>43</v>
      </c>
      <c r="C191" s="321">
        <f>'Office Major'!C232</f>
        <v>0</v>
      </c>
      <c r="D191" s="321">
        <f>'Office Major'!D232</f>
        <v>0</v>
      </c>
      <c r="E191" s="321">
        <f>'Office Major'!E232</f>
        <v>0</v>
      </c>
      <c r="F191" s="321">
        <f>'Office Major'!F232</f>
        <v>0</v>
      </c>
      <c r="G191" s="321">
        <f>'Office Major'!G232</f>
        <v>0</v>
      </c>
      <c r="H191" s="321">
        <f>'Office Major'!H232</f>
        <v>0</v>
      </c>
      <c r="K191" s="394"/>
    </row>
    <row r="192" spans="1:11" s="393" customFormat="1" ht="17.100000000000001" customHeight="1" x14ac:dyDescent="0.25">
      <c r="A192" s="1255" t="s">
        <v>158</v>
      </c>
      <c r="B192" s="1256"/>
      <c r="C192" s="497">
        <f>SUM(C181:C191)</f>
        <v>6</v>
      </c>
      <c r="D192" s="522">
        <f t="shared" ref="D192:H192" si="22">SUM(D181:D191)</f>
        <v>6144.34</v>
      </c>
      <c r="E192" s="499">
        <f t="shared" si="22"/>
        <v>4206255.6749999998</v>
      </c>
      <c r="F192" s="498">
        <f t="shared" si="22"/>
        <v>16472730750</v>
      </c>
      <c r="G192" s="499">
        <f t="shared" si="22"/>
        <v>6245306591</v>
      </c>
      <c r="H192" s="497">
        <f t="shared" si="22"/>
        <v>3315</v>
      </c>
      <c r="K192" s="394"/>
    </row>
    <row r="193" spans="1:11" ht="20.25" customHeight="1" x14ac:dyDescent="0.25">
      <c r="A193" s="146"/>
      <c r="B193" s="146"/>
      <c r="C193" s="146"/>
      <c r="D193" s="146"/>
      <c r="E193" s="147"/>
      <c r="F193" s="146"/>
      <c r="G193" s="146"/>
      <c r="H193" s="146"/>
    </row>
    <row r="194" spans="1:11" ht="33" x14ac:dyDescent="0.25">
      <c r="A194" s="1262" t="s">
        <v>268</v>
      </c>
      <c r="B194" s="1262"/>
      <c r="C194" s="1262"/>
      <c r="D194" s="1262"/>
      <c r="E194" s="1262"/>
      <c r="F194" s="1262"/>
      <c r="G194" s="1262"/>
      <c r="H194" s="1262"/>
    </row>
    <row r="195" spans="1:11" ht="22.5" x14ac:dyDescent="0.25">
      <c r="A195" s="1234" t="s">
        <v>269</v>
      </c>
      <c r="B195" s="1234"/>
      <c r="C195" s="1234"/>
      <c r="D195" s="1234"/>
      <c r="E195" s="1234"/>
      <c r="F195" s="1234"/>
      <c r="G195" s="1234"/>
      <c r="H195" s="1234"/>
    </row>
    <row r="196" spans="1:11" ht="20.25" x14ac:dyDescent="0.25">
      <c r="A196" s="1261" t="str">
        <f>A3</f>
        <v>Financial Year 2023-24</v>
      </c>
      <c r="B196" s="1261"/>
      <c r="C196" s="1261"/>
      <c r="D196" s="1261"/>
      <c r="E196" s="1261"/>
      <c r="F196" s="1261"/>
      <c r="G196" s="1261"/>
      <c r="H196" s="1261"/>
    </row>
    <row r="198" spans="1:11" s="393" customFormat="1" ht="17.100000000000001" customHeight="1" x14ac:dyDescent="0.25">
      <c r="A198" s="1257" t="s">
        <v>2</v>
      </c>
      <c r="B198" s="1259" t="s">
        <v>270</v>
      </c>
      <c r="C198" s="1259" t="s">
        <v>4</v>
      </c>
      <c r="D198" s="327" t="s">
        <v>5</v>
      </c>
      <c r="E198" s="327" t="s">
        <v>6</v>
      </c>
      <c r="F198" s="327" t="s">
        <v>7</v>
      </c>
      <c r="G198" s="327" t="s">
        <v>8</v>
      </c>
      <c r="H198" s="327" t="s">
        <v>9</v>
      </c>
    </row>
    <row r="199" spans="1:11" s="393" customFormat="1" ht="17.100000000000001" customHeight="1" x14ac:dyDescent="0.25">
      <c r="A199" s="1258"/>
      <c r="B199" s="1260"/>
      <c r="C199" s="1260"/>
      <c r="D199" s="328" t="s">
        <v>78</v>
      </c>
      <c r="E199" s="328" t="s">
        <v>79</v>
      </c>
      <c r="F199" s="495" t="s">
        <v>80</v>
      </c>
      <c r="G199" s="495" t="s">
        <v>80</v>
      </c>
      <c r="H199" s="328" t="s">
        <v>13</v>
      </c>
    </row>
    <row r="200" spans="1:11" s="393" customFormat="1" ht="17.100000000000001" customHeight="1" x14ac:dyDescent="0.25">
      <c r="A200" s="776">
        <v>1</v>
      </c>
      <c r="B200" s="777" t="s">
        <v>240</v>
      </c>
      <c r="C200" s="776">
        <f t="shared" ref="C200:H200" si="23">C17</f>
        <v>20</v>
      </c>
      <c r="D200" s="778">
        <f t="shared" si="23"/>
        <v>1952.0099999999998</v>
      </c>
      <c r="E200" s="778">
        <f t="shared" si="23"/>
        <v>3457948</v>
      </c>
      <c r="F200" s="778">
        <f t="shared" si="23"/>
        <v>11207986138</v>
      </c>
      <c r="G200" s="776">
        <f t="shared" si="23"/>
        <v>1013954481</v>
      </c>
      <c r="H200" s="776">
        <f t="shared" si="23"/>
        <v>580</v>
      </c>
      <c r="J200" s="393">
        <f>G200*0.02</f>
        <v>20279089.620000001</v>
      </c>
      <c r="K200" s="393">
        <f>J200/100000</f>
        <v>202.79089620000002</v>
      </c>
    </row>
    <row r="201" spans="1:11" s="393" customFormat="1" ht="17.100000000000001" customHeight="1" x14ac:dyDescent="0.25">
      <c r="A201" s="779">
        <v>2</v>
      </c>
      <c r="B201" s="777" t="s">
        <v>271</v>
      </c>
      <c r="C201" s="779">
        <f t="shared" ref="C201:H201" si="24">C24</f>
        <v>0</v>
      </c>
      <c r="D201" s="780">
        <f t="shared" si="24"/>
        <v>0</v>
      </c>
      <c r="E201" s="780">
        <f t="shared" si="24"/>
        <v>0</v>
      </c>
      <c r="F201" s="780">
        <f t="shared" si="24"/>
        <v>0</v>
      </c>
      <c r="G201" s="779">
        <f t="shared" si="24"/>
        <v>0</v>
      </c>
      <c r="H201" s="779">
        <f t="shared" si="24"/>
        <v>0</v>
      </c>
      <c r="J201" s="393">
        <f t="shared" ref="J201:J223" si="25">G201*0.02</f>
        <v>0</v>
      </c>
      <c r="K201" s="393">
        <f t="shared" ref="K201:K223" si="26">J201/100000</f>
        <v>0</v>
      </c>
    </row>
    <row r="202" spans="1:11" s="393" customFormat="1" ht="17.100000000000001" customHeight="1" x14ac:dyDescent="0.25">
      <c r="A202" s="776">
        <v>3</v>
      </c>
      <c r="B202" s="781" t="s">
        <v>242</v>
      </c>
      <c r="C202" s="779">
        <f t="shared" ref="C202:H202" si="27">C31</f>
        <v>2</v>
      </c>
      <c r="D202" s="780">
        <f t="shared" si="27"/>
        <v>84.717999999999989</v>
      </c>
      <c r="E202" s="780">
        <f t="shared" si="27"/>
        <v>1348994.28</v>
      </c>
      <c r="F202" s="780">
        <f t="shared" si="27"/>
        <v>879689365</v>
      </c>
      <c r="G202" s="779">
        <f t="shared" si="27"/>
        <v>108266640</v>
      </c>
      <c r="H202" s="779">
        <f t="shared" si="27"/>
        <v>145</v>
      </c>
      <c r="J202" s="393">
        <f t="shared" si="25"/>
        <v>2165332.7999999998</v>
      </c>
      <c r="K202" s="393">
        <f t="shared" si="26"/>
        <v>21.653327999999998</v>
      </c>
    </row>
    <row r="203" spans="1:11" s="393" customFormat="1" ht="17.100000000000001" customHeight="1" x14ac:dyDescent="0.25">
      <c r="A203" s="779">
        <v>4</v>
      </c>
      <c r="B203" s="782" t="s">
        <v>243</v>
      </c>
      <c r="C203" s="783">
        <f t="shared" ref="C203:H203" si="28">C39</f>
        <v>15</v>
      </c>
      <c r="D203" s="780">
        <f t="shared" si="28"/>
        <v>11921.47</v>
      </c>
      <c r="E203" s="780">
        <f t="shared" si="28"/>
        <v>7323898.5800000001</v>
      </c>
      <c r="F203" s="780">
        <f t="shared" si="28"/>
        <v>16796200701</v>
      </c>
      <c r="G203" s="779">
        <f t="shared" si="28"/>
        <v>1137495026</v>
      </c>
      <c r="H203" s="779">
        <f t="shared" si="28"/>
        <v>144</v>
      </c>
      <c r="J203" s="393">
        <f t="shared" si="25"/>
        <v>22749900.52</v>
      </c>
      <c r="K203" s="393">
        <f t="shared" si="26"/>
        <v>227.4990052</v>
      </c>
    </row>
    <row r="204" spans="1:11" s="393" customFormat="1" ht="17.100000000000001" customHeight="1" x14ac:dyDescent="0.25">
      <c r="A204" s="776">
        <v>5</v>
      </c>
      <c r="B204" s="782" t="s">
        <v>245</v>
      </c>
      <c r="C204" s="784">
        <f t="shared" ref="C204:H204" si="29">C52</f>
        <v>11</v>
      </c>
      <c r="D204" s="778">
        <f t="shared" si="29"/>
        <v>3364.6220000000003</v>
      </c>
      <c r="E204" s="778">
        <f t="shared" si="29"/>
        <v>4568332</v>
      </c>
      <c r="F204" s="778">
        <f t="shared" si="29"/>
        <v>39937042535</v>
      </c>
      <c r="G204" s="776">
        <f t="shared" si="29"/>
        <v>13407796170</v>
      </c>
      <c r="H204" s="776">
        <f t="shared" si="29"/>
        <v>4740</v>
      </c>
      <c r="J204" s="393">
        <f t="shared" si="25"/>
        <v>268155923.40000001</v>
      </c>
      <c r="K204" s="393">
        <f t="shared" si="26"/>
        <v>2681.5592339999998</v>
      </c>
    </row>
    <row r="205" spans="1:11" s="393" customFormat="1" ht="17.100000000000001" customHeight="1" x14ac:dyDescent="0.25">
      <c r="A205" s="779">
        <v>6</v>
      </c>
      <c r="B205" s="782" t="s">
        <v>246</v>
      </c>
      <c r="C205" s="784">
        <f t="shared" ref="C205:H205" si="30">C59</f>
        <v>3</v>
      </c>
      <c r="D205" s="778">
        <f t="shared" si="30"/>
        <v>2357.25</v>
      </c>
      <c r="E205" s="778">
        <f t="shared" si="30"/>
        <v>3024322</v>
      </c>
      <c r="F205" s="778">
        <f t="shared" si="30"/>
        <v>6046856060</v>
      </c>
      <c r="G205" s="776">
        <f t="shared" si="30"/>
        <v>411726221</v>
      </c>
      <c r="H205" s="776">
        <f t="shared" si="30"/>
        <v>230</v>
      </c>
      <c r="J205" s="393">
        <f t="shared" si="25"/>
        <v>8234524.4199999999</v>
      </c>
      <c r="K205" s="393">
        <f t="shared" si="26"/>
        <v>82.345244199999996</v>
      </c>
    </row>
    <row r="206" spans="1:11" s="393" customFormat="1" ht="17.100000000000001" customHeight="1" x14ac:dyDescent="0.25">
      <c r="A206" s="776">
        <v>7</v>
      </c>
      <c r="B206" s="782" t="s">
        <v>247</v>
      </c>
      <c r="C206" s="785">
        <f t="shared" ref="C206:H206" si="31">C65</f>
        <v>1</v>
      </c>
      <c r="D206" s="780">
        <f t="shared" si="31"/>
        <v>1516.8</v>
      </c>
      <c r="E206" s="780">
        <f t="shared" si="31"/>
        <v>885550</v>
      </c>
      <c r="F206" s="780">
        <f t="shared" si="31"/>
        <v>708440000</v>
      </c>
      <c r="G206" s="786">
        <f t="shared" si="31"/>
        <v>72000000</v>
      </c>
      <c r="H206" s="786">
        <f t="shared" si="31"/>
        <v>40</v>
      </c>
      <c r="J206" s="393">
        <f t="shared" si="25"/>
        <v>1440000</v>
      </c>
      <c r="K206" s="393">
        <f t="shared" si="26"/>
        <v>14.4</v>
      </c>
    </row>
    <row r="207" spans="1:11" s="393" customFormat="1" ht="17.100000000000001" customHeight="1" x14ac:dyDescent="0.25">
      <c r="A207" s="779">
        <v>8</v>
      </c>
      <c r="B207" s="782" t="s">
        <v>248</v>
      </c>
      <c r="C207" s="785">
        <f t="shared" ref="C207:H207" si="32">C71</f>
        <v>12</v>
      </c>
      <c r="D207" s="780">
        <f t="shared" si="32"/>
        <v>6549.692</v>
      </c>
      <c r="E207" s="780">
        <f t="shared" si="32"/>
        <v>37872562</v>
      </c>
      <c r="F207" s="780">
        <f t="shared" si="32"/>
        <v>26225485534</v>
      </c>
      <c r="G207" s="786">
        <f t="shared" si="32"/>
        <v>3074692432</v>
      </c>
      <c r="H207" s="786">
        <f t="shared" si="32"/>
        <v>1117</v>
      </c>
      <c r="J207" s="393">
        <f t="shared" si="25"/>
        <v>61493848.640000001</v>
      </c>
      <c r="K207" s="393">
        <f t="shared" si="26"/>
        <v>614.93848639999999</v>
      </c>
    </row>
    <row r="208" spans="1:11" s="393" customFormat="1" ht="17.100000000000001" customHeight="1" x14ac:dyDescent="0.25">
      <c r="A208" s="776">
        <v>9</v>
      </c>
      <c r="B208" s="782" t="s">
        <v>249</v>
      </c>
      <c r="C208" s="787">
        <f t="shared" ref="C208:H208" si="33">C77</f>
        <v>1</v>
      </c>
      <c r="D208" s="787">
        <f t="shared" si="33"/>
        <v>5</v>
      </c>
      <c r="E208" s="787">
        <f t="shared" si="33"/>
        <v>0</v>
      </c>
      <c r="F208" s="787">
        <f t="shared" si="33"/>
        <v>0</v>
      </c>
      <c r="G208" s="787">
        <f t="shared" si="33"/>
        <v>0</v>
      </c>
      <c r="H208" s="787">
        <f t="shared" si="33"/>
        <v>0</v>
      </c>
      <c r="J208" s="393">
        <f t="shared" si="25"/>
        <v>0</v>
      </c>
      <c r="K208" s="393">
        <f t="shared" si="26"/>
        <v>0</v>
      </c>
    </row>
    <row r="209" spans="1:11" s="393" customFormat="1" ht="17.100000000000001" customHeight="1" x14ac:dyDescent="0.25">
      <c r="A209" s="779">
        <v>10</v>
      </c>
      <c r="B209" s="812" t="s">
        <v>250</v>
      </c>
      <c r="C209" s="784">
        <f t="shared" ref="C209:H209" si="34">C83</f>
        <v>1</v>
      </c>
      <c r="D209" s="778">
        <f t="shared" si="34"/>
        <v>5</v>
      </c>
      <c r="E209" s="778">
        <f t="shared" si="34"/>
        <v>0</v>
      </c>
      <c r="F209" s="778">
        <f t="shared" si="34"/>
        <v>0</v>
      </c>
      <c r="G209" s="776">
        <f t="shared" si="34"/>
        <v>30767</v>
      </c>
      <c r="H209" s="776">
        <f t="shared" si="34"/>
        <v>0</v>
      </c>
      <c r="J209" s="393">
        <f t="shared" si="25"/>
        <v>615.34</v>
      </c>
      <c r="K209" s="393">
        <f t="shared" si="26"/>
        <v>6.1534000000000007E-3</v>
      </c>
    </row>
    <row r="210" spans="1:11" s="393" customFormat="1" ht="17.100000000000001" customHeight="1" x14ac:dyDescent="0.25">
      <c r="A210" s="811">
        <v>11</v>
      </c>
      <c r="B210" s="782" t="s">
        <v>257</v>
      </c>
      <c r="C210" s="815">
        <f>C121</f>
        <v>1</v>
      </c>
      <c r="D210" s="815">
        <f t="shared" ref="D210:H210" si="35">D121</f>
        <v>195.7064</v>
      </c>
      <c r="E210" s="815">
        <f t="shared" si="35"/>
        <v>0</v>
      </c>
      <c r="F210" s="815">
        <f t="shared" si="35"/>
        <v>0</v>
      </c>
      <c r="G210" s="815">
        <f t="shared" si="35"/>
        <v>587121</v>
      </c>
      <c r="H210" s="815">
        <f t="shared" si="35"/>
        <v>0</v>
      </c>
      <c r="J210" s="393">
        <f t="shared" si="25"/>
        <v>11742.42</v>
      </c>
      <c r="K210" s="393">
        <f t="shared" si="26"/>
        <v>0.11742420000000001</v>
      </c>
    </row>
    <row r="211" spans="1:11" s="393" customFormat="1" ht="17.100000000000001" customHeight="1" x14ac:dyDescent="0.25">
      <c r="A211" s="779">
        <v>12</v>
      </c>
      <c r="B211" s="777" t="s">
        <v>252</v>
      </c>
      <c r="C211" s="813">
        <f t="shared" ref="C211:H211" si="36">C93</f>
        <v>8</v>
      </c>
      <c r="D211" s="814">
        <f t="shared" si="36"/>
        <v>1047.22</v>
      </c>
      <c r="E211" s="814">
        <f t="shared" si="36"/>
        <v>4712430.4000000004</v>
      </c>
      <c r="F211" s="814">
        <f t="shared" si="36"/>
        <v>2924905000</v>
      </c>
      <c r="G211" s="813">
        <f t="shared" si="36"/>
        <v>377206780</v>
      </c>
      <c r="H211" s="813">
        <f t="shared" si="36"/>
        <v>325</v>
      </c>
      <c r="J211" s="393">
        <f t="shared" si="25"/>
        <v>7544135.6000000006</v>
      </c>
      <c r="K211" s="393">
        <f t="shared" si="26"/>
        <v>75.441355999999999</v>
      </c>
    </row>
    <row r="212" spans="1:11" s="393" customFormat="1" ht="17.100000000000001" customHeight="1" x14ac:dyDescent="0.25">
      <c r="A212" s="776">
        <v>13</v>
      </c>
      <c r="B212" s="777" t="s">
        <v>272</v>
      </c>
      <c r="C212" s="779">
        <f t="shared" ref="C212:H212" si="37">C100</f>
        <v>13</v>
      </c>
      <c r="D212" s="780">
        <f t="shared" si="37"/>
        <v>2903.5050000000001</v>
      </c>
      <c r="E212" s="780">
        <f t="shared" si="37"/>
        <v>3304455</v>
      </c>
      <c r="F212" s="780">
        <f t="shared" si="37"/>
        <v>2096370998</v>
      </c>
      <c r="G212" s="779">
        <f t="shared" si="37"/>
        <v>338924732</v>
      </c>
      <c r="H212" s="779">
        <f t="shared" si="37"/>
        <v>570</v>
      </c>
      <c r="J212" s="393">
        <f t="shared" si="25"/>
        <v>6778494.6400000006</v>
      </c>
      <c r="K212" s="393">
        <f t="shared" si="26"/>
        <v>67.78494640000001</v>
      </c>
    </row>
    <row r="213" spans="1:11" s="393" customFormat="1" ht="17.100000000000001" customHeight="1" x14ac:dyDescent="0.25">
      <c r="A213" s="779">
        <v>14</v>
      </c>
      <c r="B213" s="777" t="s">
        <v>255</v>
      </c>
      <c r="C213" s="776">
        <f t="shared" ref="C213:H213" si="38">C106</f>
        <v>5</v>
      </c>
      <c r="D213" s="778">
        <f t="shared" si="38"/>
        <v>1075</v>
      </c>
      <c r="E213" s="778">
        <f t="shared" si="38"/>
        <v>0</v>
      </c>
      <c r="F213" s="778">
        <f t="shared" si="38"/>
        <v>0</v>
      </c>
      <c r="G213" s="776">
        <f t="shared" si="38"/>
        <v>0</v>
      </c>
      <c r="H213" s="776">
        <f t="shared" si="38"/>
        <v>0</v>
      </c>
      <c r="J213" s="393">
        <f t="shared" si="25"/>
        <v>0</v>
      </c>
      <c r="K213" s="393">
        <f t="shared" si="26"/>
        <v>0</v>
      </c>
    </row>
    <row r="214" spans="1:11" s="393" customFormat="1" ht="17.100000000000001" customHeight="1" x14ac:dyDescent="0.25">
      <c r="A214" s="776">
        <v>15</v>
      </c>
      <c r="B214" s="777" t="s">
        <v>256</v>
      </c>
      <c r="C214" s="779">
        <f t="shared" ref="C214:H214" si="39">C114</f>
        <v>10</v>
      </c>
      <c r="D214" s="780">
        <f t="shared" si="39"/>
        <v>1417.22</v>
      </c>
      <c r="E214" s="780">
        <f t="shared" si="39"/>
        <v>2069017</v>
      </c>
      <c r="F214" s="780">
        <f t="shared" si="39"/>
        <v>3924550830</v>
      </c>
      <c r="G214" s="779">
        <f t="shared" si="39"/>
        <v>582719000</v>
      </c>
      <c r="H214" s="779">
        <f t="shared" si="39"/>
        <v>1838</v>
      </c>
      <c r="J214" s="393">
        <f t="shared" si="25"/>
        <v>11654380</v>
      </c>
      <c r="K214" s="393">
        <f t="shared" si="26"/>
        <v>116.5438</v>
      </c>
    </row>
    <row r="215" spans="1:11" s="393" customFormat="1" ht="17.100000000000001" customHeight="1" x14ac:dyDescent="0.25">
      <c r="A215" s="779">
        <v>16</v>
      </c>
      <c r="B215" s="777" t="s">
        <v>274</v>
      </c>
      <c r="C215" s="786">
        <f t="shared" ref="C215:H215" si="40">C127</f>
        <v>1</v>
      </c>
      <c r="D215" s="780">
        <f t="shared" si="40"/>
        <v>895.42</v>
      </c>
      <c r="E215" s="780">
        <f t="shared" si="40"/>
        <v>3278226</v>
      </c>
      <c r="F215" s="780">
        <f t="shared" si="40"/>
        <v>2294758200</v>
      </c>
      <c r="G215" s="786">
        <f>G127</f>
        <v>256000000</v>
      </c>
      <c r="H215" s="786">
        <f t="shared" si="40"/>
        <v>168</v>
      </c>
      <c r="J215" s="393">
        <f t="shared" si="25"/>
        <v>5120000</v>
      </c>
      <c r="K215" s="393">
        <f t="shared" si="26"/>
        <v>51.2</v>
      </c>
    </row>
    <row r="216" spans="1:11" s="393" customFormat="1" ht="17.100000000000001" customHeight="1" x14ac:dyDescent="0.25">
      <c r="A216" s="776">
        <v>17</v>
      </c>
      <c r="B216" s="777" t="s">
        <v>259</v>
      </c>
      <c r="C216" s="776">
        <f t="shared" ref="C216:H216" si="41">C135</f>
        <v>10</v>
      </c>
      <c r="D216" s="778">
        <f t="shared" si="41"/>
        <v>4482.62</v>
      </c>
      <c r="E216" s="778">
        <f t="shared" si="41"/>
        <v>6168399.1100000003</v>
      </c>
      <c r="F216" s="778">
        <f t="shared" si="41"/>
        <v>4440860663</v>
      </c>
      <c r="G216" s="776">
        <f t="shared" si="41"/>
        <v>494747974</v>
      </c>
      <c r="H216" s="776">
        <f t="shared" si="41"/>
        <v>645</v>
      </c>
      <c r="J216" s="393">
        <f t="shared" si="25"/>
        <v>9894959.4800000004</v>
      </c>
      <c r="K216" s="393">
        <f t="shared" si="26"/>
        <v>98.9495948</v>
      </c>
    </row>
    <row r="217" spans="1:11" s="393" customFormat="1" ht="17.100000000000001" customHeight="1" x14ac:dyDescent="0.25">
      <c r="A217" s="779">
        <v>18</v>
      </c>
      <c r="B217" s="777" t="s">
        <v>260</v>
      </c>
      <c r="C217" s="776">
        <f>C143</f>
        <v>8</v>
      </c>
      <c r="D217" s="778">
        <f t="shared" ref="D217:H217" si="42">D143</f>
        <v>2655.34</v>
      </c>
      <c r="E217" s="778">
        <f t="shared" si="42"/>
        <v>25589038</v>
      </c>
      <c r="F217" s="778">
        <f t="shared" si="42"/>
        <v>16632922446</v>
      </c>
      <c r="G217" s="776">
        <f t="shared" si="42"/>
        <v>2134800320</v>
      </c>
      <c r="H217" s="776">
        <f t="shared" si="42"/>
        <v>350</v>
      </c>
      <c r="J217" s="393">
        <f t="shared" si="25"/>
        <v>42696006.399999999</v>
      </c>
      <c r="K217" s="393">
        <f t="shared" si="26"/>
        <v>426.96006399999999</v>
      </c>
    </row>
    <row r="218" spans="1:11" s="393" customFormat="1" ht="17.100000000000001" customHeight="1" x14ac:dyDescent="0.25">
      <c r="A218" s="776">
        <v>19</v>
      </c>
      <c r="B218" s="777" t="s">
        <v>275</v>
      </c>
      <c r="C218" s="776">
        <f t="shared" ref="C218:H218" si="43">C154</f>
        <v>4</v>
      </c>
      <c r="D218" s="778">
        <f t="shared" si="43"/>
        <v>1730.1862000000001</v>
      </c>
      <c r="E218" s="778">
        <f t="shared" si="43"/>
        <v>1065621.56</v>
      </c>
      <c r="F218" s="778">
        <f t="shared" si="43"/>
        <v>54182349999.999992</v>
      </c>
      <c r="G218" s="776">
        <f t="shared" si="43"/>
        <v>8759878200</v>
      </c>
      <c r="H218" s="776">
        <f t="shared" si="43"/>
        <v>22810</v>
      </c>
      <c r="J218" s="393">
        <f t="shared" si="25"/>
        <v>175197564</v>
      </c>
      <c r="K218" s="393">
        <f t="shared" si="26"/>
        <v>1751.9756400000001</v>
      </c>
    </row>
    <row r="219" spans="1:11" s="393" customFormat="1" ht="17.100000000000001" customHeight="1" x14ac:dyDescent="0.25">
      <c r="A219" s="779">
        <v>20</v>
      </c>
      <c r="B219" s="788" t="s">
        <v>264</v>
      </c>
      <c r="C219" s="776">
        <f>C161</f>
        <v>3</v>
      </c>
      <c r="D219" s="778">
        <f t="shared" ref="D219:H219" si="44">D161</f>
        <v>229.03</v>
      </c>
      <c r="E219" s="778">
        <f t="shared" si="44"/>
        <v>143379</v>
      </c>
      <c r="F219" s="778">
        <f t="shared" si="44"/>
        <v>659543400</v>
      </c>
      <c r="G219" s="776">
        <f t="shared" si="44"/>
        <v>13537417</v>
      </c>
      <c r="H219" s="776">
        <f t="shared" si="44"/>
        <v>50</v>
      </c>
      <c r="J219" s="393">
        <f t="shared" si="25"/>
        <v>270748.34000000003</v>
      </c>
      <c r="K219" s="393">
        <f t="shared" si="26"/>
        <v>2.7074834000000001</v>
      </c>
    </row>
    <row r="220" spans="1:11" s="393" customFormat="1" ht="17.100000000000001" customHeight="1" x14ac:dyDescent="0.25">
      <c r="A220" s="776">
        <v>21</v>
      </c>
      <c r="B220" s="789" t="s">
        <v>265</v>
      </c>
      <c r="C220" s="779">
        <f t="shared" ref="C220:H220" si="45">C170</f>
        <v>8</v>
      </c>
      <c r="D220" s="780">
        <f t="shared" si="45"/>
        <v>1404.1100000000001</v>
      </c>
      <c r="E220" s="780">
        <f t="shared" si="45"/>
        <v>12794105</v>
      </c>
      <c r="F220" s="780">
        <f t="shared" si="45"/>
        <v>9018036863</v>
      </c>
      <c r="G220" s="779">
        <f t="shared" si="45"/>
        <v>1025918000</v>
      </c>
      <c r="H220" s="779">
        <f t="shared" si="45"/>
        <v>970</v>
      </c>
      <c r="J220" s="393">
        <f t="shared" si="25"/>
        <v>20518360</v>
      </c>
      <c r="K220" s="393">
        <f t="shared" si="26"/>
        <v>205.18360000000001</v>
      </c>
    </row>
    <row r="221" spans="1:11" s="393" customFormat="1" ht="17.100000000000001" customHeight="1" x14ac:dyDescent="0.25">
      <c r="A221" s="779">
        <v>22</v>
      </c>
      <c r="B221" s="777" t="s">
        <v>278</v>
      </c>
      <c r="C221" s="779">
        <f t="shared" ref="C221:H221" si="46">C176</f>
        <v>5</v>
      </c>
      <c r="D221" s="780">
        <f t="shared" si="46"/>
        <v>24.76</v>
      </c>
      <c r="E221" s="780">
        <f t="shared" si="46"/>
        <v>904</v>
      </c>
      <c r="F221" s="780">
        <f t="shared" si="46"/>
        <v>3750000</v>
      </c>
      <c r="G221" s="779">
        <f t="shared" si="46"/>
        <v>150000</v>
      </c>
      <c r="H221" s="779">
        <f t="shared" si="46"/>
        <v>0</v>
      </c>
      <c r="J221" s="393">
        <f t="shared" si="25"/>
        <v>3000</v>
      </c>
      <c r="K221" s="393">
        <f t="shared" si="26"/>
        <v>0.03</v>
      </c>
    </row>
    <row r="222" spans="1:11" s="393" customFormat="1" ht="17.100000000000001" customHeight="1" x14ac:dyDescent="0.25">
      <c r="A222" s="776">
        <v>23</v>
      </c>
      <c r="B222" s="777" t="s">
        <v>267</v>
      </c>
      <c r="C222" s="779">
        <f t="shared" ref="C222:H222" si="47">C192</f>
        <v>6</v>
      </c>
      <c r="D222" s="780">
        <f t="shared" si="47"/>
        <v>6144.34</v>
      </c>
      <c r="E222" s="780">
        <f>E192</f>
        <v>4206255.6749999998</v>
      </c>
      <c r="F222" s="780">
        <f t="shared" si="47"/>
        <v>16472730750</v>
      </c>
      <c r="G222" s="779">
        <f t="shared" si="47"/>
        <v>6245306591</v>
      </c>
      <c r="H222" s="779">
        <f t="shared" si="47"/>
        <v>3315</v>
      </c>
      <c r="J222" s="393">
        <f t="shared" si="25"/>
        <v>124906131.82000001</v>
      </c>
      <c r="K222" s="393">
        <f t="shared" si="26"/>
        <v>1249.0613182000002</v>
      </c>
    </row>
    <row r="223" spans="1:11" s="393" customFormat="1" ht="17.100000000000001" customHeight="1" x14ac:dyDescent="0.25">
      <c r="A223" s="1219" t="s">
        <v>237</v>
      </c>
      <c r="B223" s="1220"/>
      <c r="C223" s="790">
        <f t="shared" ref="C223:H223" si="48">SUM(C200:C222)</f>
        <v>148</v>
      </c>
      <c r="D223" s="791">
        <f t="shared" si="48"/>
        <v>51961.0196</v>
      </c>
      <c r="E223" s="791">
        <f t="shared" si="48"/>
        <v>121813437.60499999</v>
      </c>
      <c r="F223" s="791">
        <f t="shared" si="48"/>
        <v>214452479483</v>
      </c>
      <c r="G223" s="790">
        <f t="shared" si="48"/>
        <v>39455737872</v>
      </c>
      <c r="H223" s="790">
        <f t="shared" si="48"/>
        <v>38037</v>
      </c>
      <c r="J223" s="393">
        <f t="shared" si="25"/>
        <v>789114757.44000006</v>
      </c>
      <c r="K223" s="393">
        <f t="shared" si="26"/>
        <v>7891.1475744000008</v>
      </c>
    </row>
    <row r="225" spans="2:8" ht="15.75" x14ac:dyDescent="0.25">
      <c r="B225" s="148" t="s">
        <v>468</v>
      </c>
      <c r="C225" s="74">
        <f>'Major Minerals'!C250</f>
        <v>148</v>
      </c>
      <c r="D225" s="74">
        <f>'Major Minerals'!D250</f>
        <v>51961.019599999992</v>
      </c>
      <c r="E225" s="74">
        <f>'Major Minerals'!E250</f>
        <v>121813437.605</v>
      </c>
      <c r="F225" s="74">
        <f>'Major Minerals'!F250</f>
        <v>214452479483</v>
      </c>
      <c r="G225" s="74">
        <f>'Major Minerals'!G250</f>
        <v>39455737872</v>
      </c>
      <c r="H225" s="74">
        <f>'Major Minerals'!H250</f>
        <v>38037</v>
      </c>
    </row>
    <row r="226" spans="2:8" ht="15.75" x14ac:dyDescent="0.25">
      <c r="B226" s="148" t="s">
        <v>469</v>
      </c>
      <c r="C226" s="74">
        <f>'Distt. Major Minerals'!C247</f>
        <v>148</v>
      </c>
      <c r="D226" s="74">
        <f>'Distt. Major Minerals'!D247</f>
        <v>51961.0196</v>
      </c>
      <c r="E226" s="74">
        <f>'Distt. Major Minerals'!E247</f>
        <v>121813437.60499999</v>
      </c>
      <c r="F226" s="74">
        <f>'Distt. Major Minerals'!F247</f>
        <v>214452479483</v>
      </c>
      <c r="G226" s="74">
        <f>'Distt. Major Minerals'!G247</f>
        <v>39455737872</v>
      </c>
      <c r="H226" s="74">
        <f>'Distt. Major Minerals'!H247</f>
        <v>38037</v>
      </c>
    </row>
    <row r="227" spans="2:8" ht="15.75" x14ac:dyDescent="0.25">
      <c r="B227" s="148" t="s">
        <v>279</v>
      </c>
      <c r="C227" s="57">
        <f>'Office Major'!C271</f>
        <v>148</v>
      </c>
      <c r="D227" s="74">
        <f>'Office Major'!D271</f>
        <v>51961.0196</v>
      </c>
      <c r="E227" s="74">
        <f>'Office Major'!E271</f>
        <v>121813437.605</v>
      </c>
      <c r="F227" s="74">
        <f>'Office Major'!F271</f>
        <v>214452479483</v>
      </c>
      <c r="G227" s="57">
        <f>'Office Major'!G271</f>
        <v>39455737872</v>
      </c>
      <c r="H227" s="57">
        <f>'Office Major'!H271</f>
        <v>38037</v>
      </c>
    </row>
    <row r="229" spans="2:8" ht="15.75" x14ac:dyDescent="0.25">
      <c r="C229" s="149">
        <f>C225-C223</f>
        <v>0</v>
      </c>
      <c r="D229" s="149">
        <f t="shared" ref="D229:H229" si="49">D225-D223</f>
        <v>0</v>
      </c>
      <c r="E229" s="149">
        <f t="shared" si="49"/>
        <v>0</v>
      </c>
      <c r="F229" s="149">
        <f t="shared" si="49"/>
        <v>0</v>
      </c>
      <c r="G229" s="149">
        <f t="shared" si="49"/>
        <v>0</v>
      </c>
      <c r="H229" s="149">
        <f t="shared" si="49"/>
        <v>0</v>
      </c>
    </row>
  </sheetData>
  <autoFilter ref="B1:B229"/>
  <mergeCells count="125">
    <mergeCell ref="A198:A199"/>
    <mergeCell ref="B198:B199"/>
    <mergeCell ref="C198:C199"/>
    <mergeCell ref="A156:H156"/>
    <mergeCell ref="A157:A158"/>
    <mergeCell ref="B157:B158"/>
    <mergeCell ref="C157:C158"/>
    <mergeCell ref="A161:B161"/>
    <mergeCell ref="A176:B176"/>
    <mergeCell ref="A179:A180"/>
    <mergeCell ref="B179:B180"/>
    <mergeCell ref="C179:C180"/>
    <mergeCell ref="A192:B192"/>
    <mergeCell ref="A196:H196"/>
    <mergeCell ref="A163:H163"/>
    <mergeCell ref="A172:H172"/>
    <mergeCell ref="A178:H178"/>
    <mergeCell ref="A194:H194"/>
    <mergeCell ref="A164:A165"/>
    <mergeCell ref="B173:B174"/>
    <mergeCell ref="C173:C174"/>
    <mergeCell ref="A170:B170"/>
    <mergeCell ref="C164:C165"/>
    <mergeCell ref="A173:A174"/>
    <mergeCell ref="A154:B154"/>
    <mergeCell ref="A145:H145"/>
    <mergeCell ref="C96:C97"/>
    <mergeCell ref="A93:B93"/>
    <mergeCell ref="A143:B143"/>
    <mergeCell ref="A117:A118"/>
    <mergeCell ref="B117:B118"/>
    <mergeCell ref="C117:C118"/>
    <mergeCell ref="A121:B121"/>
    <mergeCell ref="A116:H116"/>
    <mergeCell ref="A73:H73"/>
    <mergeCell ref="A74:A75"/>
    <mergeCell ref="B74:B75"/>
    <mergeCell ref="C74:C75"/>
    <mergeCell ref="A77:B77"/>
    <mergeCell ref="A86:A87"/>
    <mergeCell ref="B86:B87"/>
    <mergeCell ref="C86:C87"/>
    <mergeCell ref="C138:C139"/>
    <mergeCell ref="A135:B135"/>
    <mergeCell ref="A106:B106"/>
    <mergeCell ref="A130:H130"/>
    <mergeCell ref="A108:H108"/>
    <mergeCell ref="A123:H123"/>
    <mergeCell ref="A131:A132"/>
    <mergeCell ref="B131:B132"/>
    <mergeCell ref="C131:C132"/>
    <mergeCell ref="A137:H137"/>
    <mergeCell ref="C103:C104"/>
    <mergeCell ref="A31:B31"/>
    <mergeCell ref="C62:C63"/>
    <mergeCell ref="A67:H67"/>
    <mergeCell ref="A85:H85"/>
    <mergeCell ref="A146:A147"/>
    <mergeCell ref="B146:B147"/>
    <mergeCell ref="C146:C147"/>
    <mergeCell ref="A54:H54"/>
    <mergeCell ref="A61:H61"/>
    <mergeCell ref="A62:A63"/>
    <mergeCell ref="A127:B127"/>
    <mergeCell ref="A71:B71"/>
    <mergeCell ref="A80:A81"/>
    <mergeCell ref="B80:B81"/>
    <mergeCell ref="C80:C81"/>
    <mergeCell ref="A138:A139"/>
    <mergeCell ref="B138:B139"/>
    <mergeCell ref="A100:B100"/>
    <mergeCell ref="A96:A97"/>
    <mergeCell ref="B96:B97"/>
    <mergeCell ref="B103:B104"/>
    <mergeCell ref="A103:A104"/>
    <mergeCell ref="A95:H95"/>
    <mergeCell ref="A102:H102"/>
    <mergeCell ref="A33:H33"/>
    <mergeCell ref="A42:H42"/>
    <mergeCell ref="B43:B44"/>
    <mergeCell ref="C43:C44"/>
    <mergeCell ref="C34:C35"/>
    <mergeCell ref="A59:B59"/>
    <mergeCell ref="A1:H1"/>
    <mergeCell ref="A2:H2"/>
    <mergeCell ref="A3:H3"/>
    <mergeCell ref="A5:H5"/>
    <mergeCell ref="A19:H19"/>
    <mergeCell ref="A6:A7"/>
    <mergeCell ref="B6:B7"/>
    <mergeCell ref="C6:C7"/>
    <mergeCell ref="A17:B17"/>
    <mergeCell ref="A20:A21"/>
    <mergeCell ref="B20:B21"/>
    <mergeCell ref="C20:C21"/>
    <mergeCell ref="A26:H26"/>
    <mergeCell ref="C55:C56"/>
    <mergeCell ref="A24:B24"/>
    <mergeCell ref="A27:A28"/>
    <mergeCell ref="B27:B28"/>
    <mergeCell ref="C27:C28"/>
    <mergeCell ref="A223:B223"/>
    <mergeCell ref="A83:B83"/>
    <mergeCell ref="A109:A110"/>
    <mergeCell ref="B109:B110"/>
    <mergeCell ref="C109:C110"/>
    <mergeCell ref="A114:B114"/>
    <mergeCell ref="A34:A35"/>
    <mergeCell ref="B34:B35"/>
    <mergeCell ref="A39:B39"/>
    <mergeCell ref="A52:B52"/>
    <mergeCell ref="A55:A56"/>
    <mergeCell ref="B55:B56"/>
    <mergeCell ref="A124:A125"/>
    <mergeCell ref="B124:B125"/>
    <mergeCell ref="C124:C125"/>
    <mergeCell ref="B164:B165"/>
    <mergeCell ref="A79:H79"/>
    <mergeCell ref="A195:H195"/>
    <mergeCell ref="A43:A44"/>
    <mergeCell ref="B62:B63"/>
    <mergeCell ref="A65:B65"/>
    <mergeCell ref="A68:A69"/>
    <mergeCell ref="B68:B69"/>
    <mergeCell ref="C68:C69"/>
  </mergeCells>
  <pageMargins left="0.70866141732283472" right="0.70866141732283472" top="0.74803149606299213" bottom="0.74803149606299213" header="0.31496062992125984" footer="0.31496062992125984"/>
  <pageSetup scale="75" orientation="portrait" r:id="rId1"/>
  <rowBreaks count="1" manualBreakCount="1">
    <brk id="193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1"/>
  <sheetViews>
    <sheetView topLeftCell="A585" zoomScale="91" zoomScaleNormal="91" workbookViewId="0">
      <selection activeCell="C161" sqref="C161"/>
    </sheetView>
  </sheetViews>
  <sheetFormatPr defaultColWidth="9.140625" defaultRowHeight="20.25" x14ac:dyDescent="0.3"/>
  <cols>
    <col min="1" max="1" width="6.7109375" style="120" customWidth="1"/>
    <col min="2" max="2" width="20.140625" style="120" customWidth="1"/>
    <col min="3" max="3" width="9.85546875" style="120" customWidth="1"/>
    <col min="4" max="4" width="14.140625" style="120" customWidth="1"/>
    <col min="5" max="5" width="17.42578125" style="120" customWidth="1"/>
    <col min="6" max="6" width="19" style="120" bestFit="1" customWidth="1"/>
    <col min="7" max="7" width="17.85546875" style="120" bestFit="1" customWidth="1"/>
    <col min="8" max="8" width="12.5703125" style="120" customWidth="1"/>
    <col min="9" max="9" width="25.7109375" style="150" customWidth="1"/>
    <col min="10" max="10" width="16.85546875" style="118" customWidth="1"/>
    <col min="11" max="11" width="22.85546875" style="120" customWidth="1"/>
    <col min="12" max="12" width="10" style="120" customWidth="1"/>
    <col min="13" max="13" width="8.7109375" style="120" customWidth="1"/>
    <col min="14" max="14" width="11.28515625" style="120" customWidth="1"/>
    <col min="15" max="15" width="13" style="120" customWidth="1"/>
    <col min="16" max="16" width="11.7109375" style="120" customWidth="1"/>
    <col min="17" max="17" width="9.28515625" style="120" customWidth="1"/>
    <col min="18" max="18" width="11" style="120" customWidth="1"/>
    <col min="19" max="16384" width="9.140625" style="120"/>
  </cols>
  <sheetData>
    <row r="1" spans="1:17" ht="30.75" x14ac:dyDescent="0.3">
      <c r="A1" s="1280" t="s">
        <v>180</v>
      </c>
      <c r="B1" s="1280"/>
      <c r="C1" s="1280"/>
      <c r="D1" s="1280"/>
      <c r="E1" s="1280"/>
      <c r="F1" s="1280"/>
      <c r="G1" s="1280"/>
      <c r="H1" s="1280"/>
    </row>
    <row r="2" spans="1:17" ht="25.5" x14ac:dyDescent="0.3">
      <c r="A2" s="1281" t="s">
        <v>280</v>
      </c>
      <c r="B2" s="1281"/>
      <c r="C2" s="1281"/>
      <c r="D2" s="1281"/>
      <c r="E2" s="1281"/>
      <c r="F2" s="1281"/>
      <c r="G2" s="1281"/>
      <c r="H2" s="1281"/>
    </row>
    <row r="3" spans="1:17" ht="22.5" x14ac:dyDescent="0.3">
      <c r="A3" s="1282" t="str">
        <f>Distt.Major!A196</f>
        <v>Financial Year 2023-24</v>
      </c>
      <c r="B3" s="1282"/>
      <c r="C3" s="1282"/>
      <c r="D3" s="1282"/>
      <c r="E3" s="1282"/>
      <c r="F3" s="1282"/>
      <c r="G3" s="1282"/>
      <c r="H3" s="1282"/>
    </row>
    <row r="4" spans="1:17" x14ac:dyDescent="0.3">
      <c r="A4" s="136"/>
      <c r="B4" s="136"/>
      <c r="C4" s="136"/>
      <c r="D4" s="136"/>
      <c r="E4" s="136"/>
      <c r="F4" s="136"/>
      <c r="G4" s="136"/>
      <c r="H4" s="136"/>
    </row>
    <row r="5" spans="1:17" ht="15.75" customHeight="1" x14ac:dyDescent="0.3">
      <c r="A5" s="1210" t="s">
        <v>240</v>
      </c>
      <c r="B5" s="1210"/>
      <c r="C5" s="1210"/>
      <c r="D5" s="1210"/>
      <c r="E5" s="1210"/>
      <c r="F5" s="1210"/>
      <c r="G5" s="1210"/>
      <c r="H5" s="1210"/>
      <c r="J5" s="334" t="s">
        <v>507</v>
      </c>
      <c r="K5" s="120">
        <f>'Office Minor'!C125</f>
        <v>81</v>
      </c>
      <c r="L5" s="120">
        <f>'Office Minor'!D125</f>
        <v>85.18</v>
      </c>
      <c r="M5" s="120">
        <f>'Office Minor'!E125</f>
        <v>761261</v>
      </c>
      <c r="N5" s="120">
        <f>'Office Minor'!F125</f>
        <v>159864810</v>
      </c>
      <c r="O5" s="120">
        <f>'Office Minor'!G125</f>
        <v>26644149</v>
      </c>
      <c r="P5" s="120">
        <f>'Office Minor'!H125</f>
        <v>144</v>
      </c>
    </row>
    <row r="6" spans="1:17" s="334" customFormat="1" ht="17.100000000000001" customHeight="1" x14ac:dyDescent="0.25">
      <c r="A6" s="1283" t="s">
        <v>182</v>
      </c>
      <c r="B6" s="1283" t="s">
        <v>3</v>
      </c>
      <c r="C6" s="1283" t="s">
        <v>4</v>
      </c>
      <c r="D6" s="845" t="s">
        <v>5</v>
      </c>
      <c r="E6" s="846" t="s">
        <v>6</v>
      </c>
      <c r="F6" s="847" t="s">
        <v>7</v>
      </c>
      <c r="G6" s="847" t="s">
        <v>8</v>
      </c>
      <c r="H6" s="846" t="s">
        <v>9</v>
      </c>
      <c r="I6" s="523"/>
      <c r="J6" s="342" t="s">
        <v>549</v>
      </c>
      <c r="K6" s="334">
        <f>K5-L11</f>
        <v>81</v>
      </c>
      <c r="L6" s="334">
        <f t="shared" ref="L6:P6" si="0">L5-M11</f>
        <v>85.18</v>
      </c>
      <c r="M6" s="334">
        <f>M5-N11</f>
        <v>761261</v>
      </c>
      <c r="N6" s="334">
        <f>N5-O11</f>
        <v>159864810</v>
      </c>
      <c r="O6" s="334">
        <f t="shared" si="0"/>
        <v>26644149</v>
      </c>
      <c r="P6" s="334">
        <f t="shared" si="0"/>
        <v>144</v>
      </c>
    </row>
    <row r="7" spans="1:17" s="334" customFormat="1" ht="17.100000000000001" customHeight="1" x14ac:dyDescent="0.25">
      <c r="A7" s="1284"/>
      <c r="B7" s="1284"/>
      <c r="C7" s="1284"/>
      <c r="D7" s="848" t="s">
        <v>78</v>
      </c>
      <c r="E7" s="849" t="s">
        <v>79</v>
      </c>
      <c r="F7" s="850" t="s">
        <v>80</v>
      </c>
      <c r="G7" s="850" t="s">
        <v>80</v>
      </c>
      <c r="H7" s="849" t="s">
        <v>13</v>
      </c>
      <c r="I7" s="523"/>
      <c r="J7" s="342"/>
    </row>
    <row r="8" spans="1:17" s="334" customFormat="1" ht="17.100000000000001" customHeight="1" x14ac:dyDescent="0.25">
      <c r="A8" s="316">
        <v>1</v>
      </c>
      <c r="B8" s="320" t="s">
        <v>62</v>
      </c>
      <c r="C8" s="686">
        <f>'Office Minor'!C25+'Office Minor'!C691+'Office Minor'!C123</f>
        <v>102</v>
      </c>
      <c r="D8" s="686">
        <f>'Office Minor'!D25+'Office Minor'!D691+'Office Minor'!D123</f>
        <v>168.60000000000002</v>
      </c>
      <c r="E8" s="686">
        <f>'Office Minor'!E25+'Office Minor'!E691+'Office Minor'!E123</f>
        <v>740749</v>
      </c>
      <c r="F8" s="686">
        <f>'Office Minor'!F25+'Office Minor'!F691+'Office Minor'!F123</f>
        <v>1371649534</v>
      </c>
      <c r="G8" s="686">
        <f>'Office Minor'!G25+'Office Minor'!G691+'Office Minor'!G123</f>
        <v>226093354</v>
      </c>
      <c r="H8" s="686">
        <f>'Office Minor'!H25+'Office Minor'!H691+'Office Minor'!H123</f>
        <v>460</v>
      </c>
      <c r="I8" s="523"/>
      <c r="J8" s="342">
        <f>F8/E8</f>
        <v>1851.7062243755981</v>
      </c>
    </row>
    <row r="9" spans="1:17" s="334" customFormat="1" ht="17.100000000000001" customHeight="1" x14ac:dyDescent="0.25">
      <c r="A9" s="316">
        <f t="shared" ref="A9:A13" si="1">+A8+1</f>
        <v>2</v>
      </c>
      <c r="B9" s="320" t="s">
        <v>58</v>
      </c>
      <c r="C9" s="686">
        <f>'Office Minor'!C26+'Office Minor'!C124+'Office Minor'!C692</f>
        <v>410</v>
      </c>
      <c r="D9" s="686">
        <f>'Office Minor'!D26+'Office Minor'!D124+'Office Minor'!D692</f>
        <v>567.72</v>
      </c>
      <c r="E9" s="686">
        <f>'Office Minor'!E26+'Office Minor'!E124+'Office Minor'!E692</f>
        <v>1926151</v>
      </c>
      <c r="F9" s="686">
        <f>'Office Minor'!F26+'Office Minor'!F124+'Office Minor'!F692</f>
        <v>4147586246</v>
      </c>
      <c r="G9" s="686">
        <f>'Office Minor'!G26+'Office Minor'!G124+'Office Minor'!G692</f>
        <v>531167907</v>
      </c>
      <c r="H9" s="686">
        <f>'Office Minor'!H26+'Office Minor'!H124+'Office Minor'!H692</f>
        <v>3245</v>
      </c>
      <c r="I9" s="523"/>
      <c r="J9" s="342">
        <f t="shared" ref="J9:J19" si="2">F9/E9</f>
        <v>2153.3027504074189</v>
      </c>
      <c r="K9" s="334" t="s">
        <v>518</v>
      </c>
      <c r="L9" s="334">
        <f>'Office Minor'!C692+'Office Minor'!C26</f>
        <v>354</v>
      </c>
      <c r="M9" s="334">
        <f>'Office Minor'!D692+'Office Minor'!D26</f>
        <v>468.99</v>
      </c>
      <c r="N9" s="334">
        <f>'Office Minor'!E692+'Office Minor'!E26</f>
        <v>1847445</v>
      </c>
      <c r="O9" s="334">
        <f>'Office Minor'!F692+'Office Minor'!F26</f>
        <v>3978368346</v>
      </c>
      <c r="P9" s="334">
        <f>'Office Minor'!G692+'Office Minor'!G26</f>
        <v>508348619</v>
      </c>
      <c r="Q9" s="334">
        <f>'Office Minor'!H692+'Office Minor'!H26</f>
        <v>3200</v>
      </c>
    </row>
    <row r="10" spans="1:17" s="334" customFormat="1" ht="17.100000000000001" customHeight="1" x14ac:dyDescent="0.25">
      <c r="A10" s="316">
        <v>3</v>
      </c>
      <c r="B10" s="320" t="s">
        <v>146</v>
      </c>
      <c r="C10" s="686">
        <f>'Office Minor'!C27+'Office Minor'!C125+'Office Minor'!C693</f>
        <v>335</v>
      </c>
      <c r="D10" s="686">
        <f>'Office Minor'!D27+'Office Minor'!D125+'Office Minor'!D693</f>
        <v>353.71</v>
      </c>
      <c r="E10" s="686">
        <f>'Office Minor'!E27+'Office Minor'!E125+'Office Minor'!E693</f>
        <v>3149853</v>
      </c>
      <c r="F10" s="686">
        <f>'Office Minor'!F27+'Office Minor'!F125+'Office Minor'!F693</f>
        <v>784525042</v>
      </c>
      <c r="G10" s="686">
        <f>'Office Minor'!G27+'Office Minor'!G125+'Office Minor'!G693</f>
        <v>139598463</v>
      </c>
      <c r="H10" s="686">
        <f>'Office Minor'!H27+'Office Minor'!H125+'Office Minor'!H693</f>
        <v>1494</v>
      </c>
      <c r="I10" s="978" t="s">
        <v>646</v>
      </c>
      <c r="J10" s="342">
        <f t="shared" si="2"/>
        <v>249.06719202451669</v>
      </c>
      <c r="K10" s="334" t="s">
        <v>507</v>
      </c>
      <c r="L10" s="334">
        <f>'Office Minor'!C27+'Office Minor'!C693</f>
        <v>254</v>
      </c>
      <c r="M10" s="334">
        <f>'Office Minor'!D27+'Office Minor'!D693</f>
        <v>268.52999999999997</v>
      </c>
      <c r="N10" s="334">
        <f>'Office Minor'!E27+'Office Minor'!E693</f>
        <v>2388592</v>
      </c>
      <c r="O10" s="334">
        <f>'Office Minor'!F27+'Office Minor'!F693</f>
        <v>624660232</v>
      </c>
      <c r="P10" s="334">
        <f>'Office Minor'!G27+'Office Minor'!G693</f>
        <v>112954314</v>
      </c>
      <c r="Q10" s="334">
        <f>'Office Minor'!H27+'Office Minor'!H693</f>
        <v>1350</v>
      </c>
    </row>
    <row r="11" spans="1:17" s="334" customFormat="1" ht="17.100000000000001" customHeight="1" x14ac:dyDescent="0.3">
      <c r="A11" s="316">
        <f t="shared" si="1"/>
        <v>4</v>
      </c>
      <c r="B11" s="320" t="s">
        <v>68</v>
      </c>
      <c r="C11" s="320">
        <f>'Office Minor'!C28</f>
        <v>4</v>
      </c>
      <c r="D11" s="320">
        <f>'Office Minor'!D28</f>
        <v>10.4</v>
      </c>
      <c r="E11" s="320">
        <f>'Office Minor'!E28</f>
        <v>45635</v>
      </c>
      <c r="F11" s="320">
        <f>'Office Minor'!F28</f>
        <v>10952305</v>
      </c>
      <c r="G11" s="320">
        <f>'Office Minor'!G28</f>
        <v>51578644</v>
      </c>
      <c r="H11" s="320">
        <f>'Office Minor'!H28</f>
        <v>10</v>
      </c>
      <c r="I11" s="985" t="s">
        <v>548</v>
      </c>
      <c r="J11" s="342">
        <f t="shared" si="2"/>
        <v>239.99791826448998</v>
      </c>
      <c r="K11" s="334" t="s">
        <v>507</v>
      </c>
      <c r="L11" s="761"/>
      <c r="M11" s="761"/>
      <c r="N11" s="761"/>
      <c r="O11" s="761"/>
      <c r="P11" s="761"/>
      <c r="Q11" s="762"/>
    </row>
    <row r="12" spans="1:17" s="334" customFormat="1" ht="17.100000000000001" customHeight="1" x14ac:dyDescent="0.25">
      <c r="A12" s="316">
        <v>5</v>
      </c>
      <c r="B12" s="320" t="s">
        <v>185</v>
      </c>
      <c r="C12" s="320">
        <f>'Office Minor'!C29+'Office Minor'!C130</f>
        <v>7</v>
      </c>
      <c r="D12" s="320">
        <f>'Office Minor'!D29+'Office Minor'!D130</f>
        <v>14.5</v>
      </c>
      <c r="E12" s="320">
        <f>'Office Minor'!E29+'Office Minor'!E130</f>
        <v>7221</v>
      </c>
      <c r="F12" s="320">
        <f>'Office Minor'!F29+'Office Minor'!F130</f>
        <v>10831500</v>
      </c>
      <c r="G12" s="686">
        <f>'Office Minor'!G29+'Office Minor'!G130</f>
        <v>1299870</v>
      </c>
      <c r="H12" s="320">
        <f>'Office Minor'!H29+'Office Minor'!H130</f>
        <v>14</v>
      </c>
      <c r="I12" s="523"/>
      <c r="J12" s="342">
        <f t="shared" si="2"/>
        <v>1500</v>
      </c>
      <c r="K12" s="334" t="s">
        <v>550</v>
      </c>
      <c r="L12" s="707">
        <f>L10+L11</f>
        <v>254</v>
      </c>
      <c r="M12" s="707">
        <f t="shared" ref="M12:Q12" si="3">M10+M11</f>
        <v>268.52999999999997</v>
      </c>
      <c r="N12" s="707">
        <f t="shared" si="3"/>
        <v>2388592</v>
      </c>
      <c r="O12" s="707">
        <f t="shared" si="3"/>
        <v>624660232</v>
      </c>
      <c r="P12" s="707">
        <f t="shared" si="3"/>
        <v>112954314</v>
      </c>
      <c r="Q12" s="707">
        <f t="shared" si="3"/>
        <v>1350</v>
      </c>
    </row>
    <row r="13" spans="1:17" s="334" customFormat="1" ht="17.100000000000001" customHeight="1" x14ac:dyDescent="0.25">
      <c r="A13" s="316">
        <f t="shared" si="1"/>
        <v>6</v>
      </c>
      <c r="B13" s="320" t="s">
        <v>46</v>
      </c>
      <c r="C13" s="320">
        <f>'Office Minor'!C31</f>
        <v>2</v>
      </c>
      <c r="D13" s="320">
        <f>'Office Minor'!D31</f>
        <v>9.66</v>
      </c>
      <c r="E13" s="320">
        <f>'Office Minor'!E31</f>
        <v>325.20999999999998</v>
      </c>
      <c r="F13" s="320">
        <f>'Office Minor'!F31</f>
        <v>461798</v>
      </c>
      <c r="G13" s="320">
        <f>'Office Minor'!G31</f>
        <v>51498451</v>
      </c>
      <c r="H13" s="320">
        <f>'Office Minor'!H31</f>
        <v>15</v>
      </c>
      <c r="I13" s="523"/>
      <c r="J13" s="342"/>
      <c r="L13" s="707"/>
      <c r="M13" s="707"/>
      <c r="N13" s="707"/>
      <c r="O13" s="707"/>
      <c r="P13" s="707"/>
      <c r="Q13" s="707"/>
    </row>
    <row r="14" spans="1:17" s="334" customFormat="1" ht="17.100000000000001" customHeight="1" x14ac:dyDescent="0.25">
      <c r="A14" s="316">
        <v>7</v>
      </c>
      <c r="B14" s="320" t="s">
        <v>133</v>
      </c>
      <c r="C14" s="686">
        <f>'Office Minor'!C695+'Office Minor'!C129</f>
        <v>10</v>
      </c>
      <c r="D14" s="686">
        <f>'Office Minor'!D695+'Office Minor'!D129</f>
        <v>50</v>
      </c>
      <c r="E14" s="686">
        <f>'Office Minor'!E695+'Office Minor'!E129</f>
        <v>116828.5</v>
      </c>
      <c r="F14" s="686">
        <f>'Office Minor'!F695+'Office Minor'!F129</f>
        <v>24534090</v>
      </c>
      <c r="G14" s="686">
        <f>'Office Minor'!G695+'Office Minor'!G129</f>
        <v>1941091</v>
      </c>
      <c r="H14" s="686">
        <f>'Office Minor'!H695+'Office Minor'!H129</f>
        <v>74</v>
      </c>
      <c r="I14" s="523"/>
      <c r="J14" s="342">
        <f t="shared" si="2"/>
        <v>210.00089875330079</v>
      </c>
      <c r="K14" s="334" t="s">
        <v>519</v>
      </c>
      <c r="L14" s="762"/>
      <c r="M14" s="762"/>
      <c r="N14" s="762"/>
      <c r="O14" s="762"/>
      <c r="P14" s="762"/>
      <c r="Q14" s="762"/>
    </row>
    <row r="15" spans="1:17" s="334" customFormat="1" ht="17.100000000000001" customHeight="1" x14ac:dyDescent="0.25">
      <c r="A15" s="316">
        <v>8</v>
      </c>
      <c r="B15" s="320" t="s">
        <v>427</v>
      </c>
      <c r="C15" s="686">
        <f>'Office Minor'!C30+'Office Minor'!C126+'Office Minor'!C694</f>
        <v>7</v>
      </c>
      <c r="D15" s="686">
        <f>'Office Minor'!D30+'Office Minor'!D126+'Office Minor'!D694</f>
        <v>4981.5</v>
      </c>
      <c r="E15" s="686">
        <f>'Office Minor'!E30+'Office Minor'!E126+'Office Minor'!E694</f>
        <v>1076911</v>
      </c>
      <c r="F15" s="686">
        <f>'Office Minor'!F30+'Office Minor'!F126+'Office Minor'!F694</f>
        <v>600120832</v>
      </c>
      <c r="G15" s="686">
        <f>'Office Minor'!G30+'Office Minor'!G126+'Office Minor'!G694</f>
        <v>144502017</v>
      </c>
      <c r="H15" s="686">
        <f>'Office Minor'!H30+'Office Minor'!H126+'Office Minor'!H694</f>
        <v>317</v>
      </c>
      <c r="I15" s="523"/>
      <c r="J15" s="342">
        <f t="shared" si="2"/>
        <v>557.26130757323494</v>
      </c>
      <c r="L15" s="707">
        <f>L14+L9</f>
        <v>354</v>
      </c>
      <c r="M15" s="707">
        <f t="shared" ref="M15:Q15" si="4">M14+M9</f>
        <v>468.99</v>
      </c>
      <c r="N15" s="707">
        <f t="shared" si="4"/>
        <v>1847445</v>
      </c>
      <c r="O15" s="707">
        <f>O14+O9</f>
        <v>3978368346</v>
      </c>
      <c r="P15" s="707">
        <f t="shared" si="4"/>
        <v>508348619</v>
      </c>
      <c r="Q15" s="707">
        <f t="shared" si="4"/>
        <v>3200</v>
      </c>
    </row>
    <row r="16" spans="1:17" s="334" customFormat="1" ht="17.100000000000001" customHeight="1" x14ac:dyDescent="0.25">
      <c r="A16" s="316">
        <v>9</v>
      </c>
      <c r="B16" s="317" t="s">
        <v>162</v>
      </c>
      <c r="C16" s="686">
        <f>'Office Minor'!C32+'Office Minor'!C132</f>
        <v>464</v>
      </c>
      <c r="D16" s="686">
        <f>'Office Minor'!D32+'Office Minor'!D132</f>
        <v>2191.1</v>
      </c>
      <c r="E16" s="686">
        <f>'Office Minor'!E32+'Office Minor'!E132</f>
        <v>4240719</v>
      </c>
      <c r="F16" s="686">
        <f>'Office Minor'!F32+'Office Minor'!F132</f>
        <v>2064757027</v>
      </c>
      <c r="G16" s="686">
        <f>'Office Minor'!G32+'Office Minor'!G132</f>
        <v>496385067</v>
      </c>
      <c r="H16" s="686">
        <f>'Office Minor'!H32+'Office Minor'!H132</f>
        <v>1900</v>
      </c>
      <c r="I16" s="523"/>
      <c r="J16" s="342">
        <f t="shared" si="2"/>
        <v>486.88843259834005</v>
      </c>
      <c r="K16" s="334" t="s">
        <v>552</v>
      </c>
      <c r="L16" s="334">
        <f>'Office Minor'!C696+'Office Minor'!C32</f>
        <v>231</v>
      </c>
      <c r="M16" s="334">
        <f>'Office Minor'!D696+'Office Minor'!D32</f>
        <v>1070.5</v>
      </c>
      <c r="N16" s="334">
        <f>'Office Minor'!E696+'Office Minor'!E32</f>
        <v>969980</v>
      </c>
      <c r="O16" s="334">
        <f>'Office Minor'!F696+'Office Minor'!F32</f>
        <v>484990090</v>
      </c>
      <c r="P16" s="334">
        <f>'Office Minor'!G696+'Office Minor'!G32</f>
        <v>123256043</v>
      </c>
      <c r="Q16" s="334">
        <f>'Office Minor'!H696+'Office Minor'!H32</f>
        <v>1300</v>
      </c>
    </row>
    <row r="17" spans="1:17" s="334" customFormat="1" ht="17.100000000000001" customHeight="1" x14ac:dyDescent="0.25">
      <c r="A17" s="316">
        <v>10</v>
      </c>
      <c r="B17" s="317" t="s">
        <v>40</v>
      </c>
      <c r="C17" s="320">
        <f>'Office Minor'!C697</f>
        <v>113</v>
      </c>
      <c r="D17" s="320">
        <f>'Office Minor'!D697</f>
        <v>758.33</v>
      </c>
      <c r="E17" s="320">
        <f>'Office Minor'!E697</f>
        <v>62299</v>
      </c>
      <c r="F17" s="320">
        <f>'Office Minor'!F697</f>
        <v>40494350</v>
      </c>
      <c r="G17" s="320">
        <f>'Office Minor'!G697</f>
        <v>5606910</v>
      </c>
      <c r="H17" s="320">
        <f>'Office Minor'!H697</f>
        <v>150</v>
      </c>
      <c r="I17" s="523"/>
      <c r="J17" s="342">
        <f t="shared" si="2"/>
        <v>650</v>
      </c>
      <c r="K17" s="334" t="s">
        <v>551</v>
      </c>
      <c r="L17" s="762">
        <v>0</v>
      </c>
      <c r="M17" s="762">
        <v>0</v>
      </c>
      <c r="N17" s="762">
        <v>0</v>
      </c>
      <c r="O17" s="762">
        <v>0</v>
      </c>
      <c r="P17" s="762">
        <v>0</v>
      </c>
      <c r="Q17" s="423">
        <v>0</v>
      </c>
    </row>
    <row r="18" spans="1:17" s="334" customFormat="1" ht="17.100000000000001" customHeight="1" x14ac:dyDescent="0.25">
      <c r="A18" s="316">
        <v>11</v>
      </c>
      <c r="B18" s="317" t="s">
        <v>159</v>
      </c>
      <c r="C18" s="320">
        <f>'Office Minor'!C698+'Office Minor'!C33</f>
        <v>29</v>
      </c>
      <c r="D18" s="320">
        <f>'Office Minor'!D698+'Office Minor'!D33</f>
        <v>153</v>
      </c>
      <c r="E18" s="320">
        <f>'Office Minor'!E698+'Office Minor'!E33</f>
        <v>17837</v>
      </c>
      <c r="F18" s="320">
        <f>'Office Minor'!F698+'Office Minor'!F33</f>
        <v>34782150</v>
      </c>
      <c r="G18" s="320">
        <f>'Office Minor'!G698+'Office Minor'!G33</f>
        <v>52287798</v>
      </c>
      <c r="H18" s="320">
        <f>'Office Minor'!H698+'Office Minor'!H33</f>
        <v>300</v>
      </c>
      <c r="I18" s="523"/>
      <c r="J18" s="342">
        <f t="shared" si="2"/>
        <v>1950</v>
      </c>
      <c r="L18" s="707">
        <f>L16+L17</f>
        <v>231</v>
      </c>
      <c r="M18" s="707">
        <f>M16+M17</f>
        <v>1070.5</v>
      </c>
      <c r="N18" s="707">
        <f>N16+N17</f>
        <v>969980</v>
      </c>
      <c r="O18" s="707">
        <f>O16+O17</f>
        <v>484990090</v>
      </c>
      <c r="P18" s="707">
        <f t="shared" ref="P18:Q18" si="5">P16+P17</f>
        <v>123256043</v>
      </c>
      <c r="Q18" s="707">
        <f t="shared" si="5"/>
        <v>1300</v>
      </c>
    </row>
    <row r="19" spans="1:17" s="334" customFormat="1" ht="17.100000000000001" customHeight="1" x14ac:dyDescent="0.25">
      <c r="A19" s="316">
        <v>12</v>
      </c>
      <c r="B19" s="317" t="s">
        <v>65</v>
      </c>
      <c r="C19" s="686">
        <f>'Office Minor'!C34+'Office Minor'!C133</f>
        <v>0</v>
      </c>
      <c r="D19" s="686">
        <f>'Office Minor'!D34+'Office Minor'!D133</f>
        <v>0</v>
      </c>
      <c r="E19" s="686">
        <f>'Office Minor'!E34+'Office Minor'!E133</f>
        <v>579900</v>
      </c>
      <c r="F19" s="686">
        <f>'Office Minor'!F34+'Office Minor'!F133</f>
        <v>14497510</v>
      </c>
      <c r="G19" s="686">
        <f>'Office Minor'!G34+'Office Minor'!G133</f>
        <v>2653605</v>
      </c>
      <c r="H19" s="686">
        <f>'Office Minor'!H34+'Office Minor'!H133</f>
        <v>44</v>
      </c>
      <c r="I19" s="523"/>
      <c r="J19" s="342">
        <f t="shared" si="2"/>
        <v>25.000017244352474</v>
      </c>
      <c r="L19" s="334">
        <f>'Office Minor'!C34</f>
        <v>0</v>
      </c>
      <c r="M19" s="334">
        <f>'Office Minor'!D34</f>
        <v>0</v>
      </c>
      <c r="N19" s="334">
        <f>'Office Minor'!E34</f>
        <v>34542</v>
      </c>
      <c r="O19" s="334">
        <f>'Office Minor'!F34</f>
        <v>863560</v>
      </c>
      <c r="P19" s="334">
        <f>'Office Minor'!G34</f>
        <v>1631136</v>
      </c>
      <c r="Q19" s="334">
        <f>'Office Minor'!H34</f>
        <v>40</v>
      </c>
    </row>
    <row r="20" spans="1:17" s="334" customFormat="1" ht="17.100000000000001" customHeight="1" x14ac:dyDescent="0.25">
      <c r="A20" s="316">
        <v>13</v>
      </c>
      <c r="B20" s="876" t="s">
        <v>404</v>
      </c>
      <c r="C20" s="686">
        <f>'Office Minor'!C131</f>
        <v>1</v>
      </c>
      <c r="D20" s="686">
        <f>'Office Minor'!D131</f>
        <v>4.8</v>
      </c>
      <c r="E20" s="686">
        <f>'Office Minor'!E131</f>
        <v>8173</v>
      </c>
      <c r="F20" s="686">
        <f>'Office Minor'!F131</f>
        <v>2043250</v>
      </c>
      <c r="G20" s="686">
        <f>'Office Minor'!G131</f>
        <v>367827</v>
      </c>
      <c r="H20" s="686">
        <f>'Office Minor'!H131</f>
        <v>4</v>
      </c>
      <c r="I20" s="523"/>
      <c r="J20" s="342"/>
    </row>
    <row r="21" spans="1:17" s="334" customFormat="1" ht="17.100000000000001" customHeight="1" x14ac:dyDescent="0.25">
      <c r="A21" s="316"/>
      <c r="B21" s="320" t="s">
        <v>75</v>
      </c>
      <c r="C21" s="320">
        <f>'Office Minor'!C35+'Office Minor'!C699</f>
        <v>0</v>
      </c>
      <c r="D21" s="320">
        <f>'Office Minor'!D35+'Office Minor'!D699</f>
        <v>0</v>
      </c>
      <c r="E21" s="320">
        <f>'Office Minor'!E35+'Office Minor'!E699</f>
        <v>0</v>
      </c>
      <c r="F21" s="320">
        <f>'Office Minor'!F35+'Office Minor'!F699</f>
        <v>0</v>
      </c>
      <c r="G21" s="686">
        <f>'Office Minor'!G35+'Office Minor'!G699+'Office Minor'!G134</f>
        <v>31309174</v>
      </c>
      <c r="H21" s="320">
        <f>'Office Minor'!H35+'Office Minor'!H699</f>
        <v>0</v>
      </c>
      <c r="I21" s="523"/>
      <c r="J21" s="342"/>
      <c r="K21" s="334" t="s">
        <v>517</v>
      </c>
      <c r="L21" s="762"/>
      <c r="M21" s="762"/>
      <c r="N21" s="762"/>
      <c r="O21" s="762"/>
      <c r="P21" s="762"/>
      <c r="Q21" s="762"/>
    </row>
    <row r="22" spans="1:17" s="334" customFormat="1" ht="17.100000000000001" customHeight="1" x14ac:dyDescent="0.25">
      <c r="A22" s="852"/>
      <c r="B22" s="853" t="s">
        <v>49</v>
      </c>
      <c r="C22" s="320">
        <f>'Office Minor'!C36+'Office Minor'!C700</f>
        <v>0</v>
      </c>
      <c r="D22" s="320">
        <f>'Office Minor'!D36+'Office Minor'!D700</f>
        <v>0</v>
      </c>
      <c r="E22" s="320">
        <f>'Office Minor'!E36+'Office Minor'!E700</f>
        <v>0</v>
      </c>
      <c r="F22" s="320">
        <f>'Office Minor'!F36+'Office Minor'!F700</f>
        <v>0</v>
      </c>
      <c r="G22" s="686">
        <f>'Office Minor'!G135+'Office Minor'!G36+'Office Minor'!G700</f>
        <v>395166419</v>
      </c>
      <c r="H22" s="320">
        <f>'Office Minor'!H36+'Office Minor'!H700</f>
        <v>0</v>
      </c>
      <c r="I22" s="523"/>
      <c r="J22" s="342"/>
      <c r="L22" s="707">
        <f>L19+L21</f>
        <v>0</v>
      </c>
      <c r="M22" s="707">
        <f t="shared" ref="M22:Q22" si="6">M19+M21</f>
        <v>0</v>
      </c>
      <c r="N22" s="707">
        <f t="shared" si="6"/>
        <v>34542</v>
      </c>
      <c r="O22" s="707">
        <f>O19+O21</f>
        <v>863560</v>
      </c>
      <c r="P22" s="707">
        <f t="shared" si="6"/>
        <v>1631136</v>
      </c>
      <c r="Q22" s="707">
        <f t="shared" si="6"/>
        <v>40</v>
      </c>
    </row>
    <row r="23" spans="1:17" s="334" customFormat="1" ht="17.100000000000001" customHeight="1" x14ac:dyDescent="0.25">
      <c r="A23" s="1287" t="s">
        <v>50</v>
      </c>
      <c r="B23" s="1287"/>
      <c r="C23" s="854">
        <f>SUM(C8:C22)</f>
        <v>1484</v>
      </c>
      <c r="D23" s="854">
        <f t="shared" ref="D23:H23" si="7">SUM(D8:D22)</f>
        <v>9263.32</v>
      </c>
      <c r="E23" s="854">
        <f t="shared" si="7"/>
        <v>11972601.710000001</v>
      </c>
      <c r="F23" s="854">
        <f t="shared" si="7"/>
        <v>9107235634</v>
      </c>
      <c r="G23" s="854">
        <f t="shared" si="7"/>
        <v>2131456597</v>
      </c>
      <c r="H23" s="854">
        <f t="shared" si="7"/>
        <v>8027</v>
      </c>
      <c r="I23" s="524">
        <f>G23+Distt.Major!G17</f>
        <v>3145411078</v>
      </c>
      <c r="J23" s="342"/>
      <c r="P23" s="342"/>
    </row>
    <row r="24" spans="1:17" s="334" customFormat="1" ht="17.100000000000001" customHeight="1" x14ac:dyDescent="0.25">
      <c r="A24" s="855"/>
      <c r="B24" s="501"/>
      <c r="C24" s="501"/>
      <c r="D24" s="507"/>
      <c r="E24" s="856"/>
      <c r="F24" s="503"/>
      <c r="G24" s="503"/>
      <c r="H24" s="857"/>
      <c r="I24" s="523"/>
      <c r="J24" s="342"/>
      <c r="K24" s="334" t="s">
        <v>559</v>
      </c>
      <c r="L24" s="334">
        <f>'Office Minor'!C133</f>
        <v>0</v>
      </c>
      <c r="M24" s="334">
        <f>'Office Minor'!D133</f>
        <v>0</v>
      </c>
      <c r="N24" s="334">
        <f>'Office Minor'!E133</f>
        <v>545358</v>
      </c>
      <c r="O24" s="334">
        <f>'Office Minor'!F133</f>
        <v>13633950</v>
      </c>
      <c r="P24" s="334">
        <f>'Office Minor'!G133</f>
        <v>1022469</v>
      </c>
      <c r="Q24" s="334">
        <f>'Office Minor'!H133</f>
        <v>4</v>
      </c>
    </row>
    <row r="25" spans="1:17" s="334" customFormat="1" ht="17.100000000000001" customHeight="1" x14ac:dyDescent="0.25">
      <c r="A25" s="1277" t="s">
        <v>271</v>
      </c>
      <c r="B25" s="1277"/>
      <c r="C25" s="1277"/>
      <c r="D25" s="1277"/>
      <c r="E25" s="1277"/>
      <c r="F25" s="1277"/>
      <c r="G25" s="1277"/>
      <c r="H25" s="1277"/>
      <c r="I25" s="523"/>
      <c r="J25" s="342"/>
    </row>
    <row r="26" spans="1:17" s="334" customFormat="1" ht="17.100000000000001" customHeight="1" x14ac:dyDescent="0.25">
      <c r="A26" s="1285" t="s">
        <v>182</v>
      </c>
      <c r="B26" s="1235" t="s">
        <v>3</v>
      </c>
      <c r="C26" s="1235" t="s">
        <v>4</v>
      </c>
      <c r="D26" s="858" t="s">
        <v>5</v>
      </c>
      <c r="E26" s="70" t="s">
        <v>6</v>
      </c>
      <c r="F26" s="859" t="s">
        <v>7</v>
      </c>
      <c r="G26" s="859" t="s">
        <v>8</v>
      </c>
      <c r="H26" s="70" t="s">
        <v>9</v>
      </c>
      <c r="I26" s="523"/>
      <c r="J26" s="342"/>
    </row>
    <row r="27" spans="1:17" s="334" customFormat="1" ht="17.100000000000001" customHeight="1" x14ac:dyDescent="0.25">
      <c r="A27" s="1286"/>
      <c r="B27" s="1236"/>
      <c r="C27" s="1236"/>
      <c r="D27" s="860" t="s">
        <v>78</v>
      </c>
      <c r="E27" s="71" t="s">
        <v>79</v>
      </c>
      <c r="F27" s="850" t="s">
        <v>80</v>
      </c>
      <c r="G27" s="850" t="s">
        <v>80</v>
      </c>
      <c r="H27" s="71" t="s">
        <v>13</v>
      </c>
      <c r="I27" s="523"/>
      <c r="J27" s="342"/>
      <c r="K27" s="334" t="s">
        <v>510</v>
      </c>
      <c r="L27" s="334">
        <f>'Office Minor'!C43</f>
        <v>178</v>
      </c>
      <c r="M27" s="334">
        <f>'Office Minor'!D43</f>
        <v>154.69</v>
      </c>
      <c r="N27" s="334">
        <f>'Office Minor'!E43</f>
        <v>6575487</v>
      </c>
      <c r="O27" s="334">
        <f>'Office Minor'!F43</f>
        <v>1380852308</v>
      </c>
      <c r="P27" s="334">
        <f>'Office Minor'!G43</f>
        <v>289321436</v>
      </c>
      <c r="Q27" s="334">
        <f>'Office Minor'!H43</f>
        <v>5000</v>
      </c>
    </row>
    <row r="28" spans="1:17" s="334" customFormat="1" ht="17.100000000000001" customHeight="1" x14ac:dyDescent="0.25">
      <c r="A28" s="861">
        <v>1</v>
      </c>
      <c r="B28" s="320" t="s">
        <v>62</v>
      </c>
      <c r="C28" s="320">
        <f>'Office Minor'!C42</f>
        <v>134</v>
      </c>
      <c r="D28" s="320">
        <f>'Office Minor'!D42</f>
        <v>194.83</v>
      </c>
      <c r="E28" s="320">
        <f>'Office Minor'!E42</f>
        <v>2900590</v>
      </c>
      <c r="F28" s="320">
        <f>'Office Minor'!F42</f>
        <v>5096033078</v>
      </c>
      <c r="G28" s="320">
        <f>'Office Minor'!G42</f>
        <v>440396071</v>
      </c>
      <c r="H28" s="320">
        <f>'Office Minor'!H42</f>
        <v>3000</v>
      </c>
      <c r="I28" s="525"/>
      <c r="J28" s="342">
        <f>F28/E28</f>
        <v>1756.8953481877825</v>
      </c>
      <c r="K28" s="334" t="s">
        <v>511</v>
      </c>
      <c r="L28" s="334">
        <f>L279</f>
        <v>236</v>
      </c>
      <c r="M28" s="334">
        <f t="shared" ref="M28:Q28" si="8">M279</f>
        <v>238.09</v>
      </c>
      <c r="N28" s="334">
        <f t="shared" si="8"/>
        <v>6963277</v>
      </c>
      <c r="O28" s="334">
        <f t="shared" si="8"/>
        <v>1427471807</v>
      </c>
      <c r="P28" s="334">
        <f t="shared" si="8"/>
        <v>300988154</v>
      </c>
      <c r="Q28" s="334">
        <f t="shared" si="8"/>
        <v>700</v>
      </c>
    </row>
    <row r="29" spans="1:17" s="334" customFormat="1" ht="17.100000000000001" customHeight="1" x14ac:dyDescent="0.25">
      <c r="A29" s="320">
        <v>2</v>
      </c>
      <c r="B29" s="320" t="s">
        <v>63</v>
      </c>
      <c r="C29" s="320">
        <f>'Office Minor'!C43</f>
        <v>178</v>
      </c>
      <c r="D29" s="320">
        <f>'Office Minor'!D43</f>
        <v>154.69</v>
      </c>
      <c r="E29" s="320">
        <f>'Office Minor'!E43</f>
        <v>6575487</v>
      </c>
      <c r="F29" s="320">
        <f>'Office Minor'!F43</f>
        <v>1380852308</v>
      </c>
      <c r="G29" s="320">
        <f>'Office Minor'!G43</f>
        <v>289321436</v>
      </c>
      <c r="H29" s="320">
        <f>'Office Minor'!H43</f>
        <v>5000</v>
      </c>
      <c r="I29" s="525"/>
      <c r="J29" s="342">
        <f t="shared" ref="J29:J39" si="9">F29/E29</f>
        <v>210.00000577903964</v>
      </c>
      <c r="L29" s="707">
        <f>L27+L28</f>
        <v>414</v>
      </c>
      <c r="M29" s="707">
        <f t="shared" ref="M29:Q29" si="10">M27+M28</f>
        <v>392.78</v>
      </c>
      <c r="N29" s="707">
        <f t="shared" si="10"/>
        <v>13538764</v>
      </c>
      <c r="O29" s="707">
        <f t="shared" si="10"/>
        <v>2808324115</v>
      </c>
      <c r="P29" s="707">
        <f t="shared" si="10"/>
        <v>590309590</v>
      </c>
      <c r="Q29" s="707">
        <f t="shared" si="10"/>
        <v>5700</v>
      </c>
    </row>
    <row r="30" spans="1:17" s="334" customFormat="1" ht="17.100000000000001" customHeight="1" x14ac:dyDescent="0.25">
      <c r="A30" s="320">
        <v>3</v>
      </c>
      <c r="B30" s="320" t="s">
        <v>58</v>
      </c>
      <c r="C30" s="320">
        <f>'Office Minor'!C44</f>
        <v>6</v>
      </c>
      <c r="D30" s="320">
        <f>'Office Minor'!D44</f>
        <v>7</v>
      </c>
      <c r="E30" s="320">
        <f>'Office Minor'!E44</f>
        <v>2400</v>
      </c>
      <c r="F30" s="320">
        <f>'Office Minor'!F44</f>
        <v>5041071</v>
      </c>
      <c r="G30" s="320">
        <f>'Office Minor'!G44</f>
        <v>84018</v>
      </c>
      <c r="H30" s="320">
        <f>'Office Minor'!H44</f>
        <v>60</v>
      </c>
      <c r="I30" s="525"/>
      <c r="J30" s="342">
        <f t="shared" si="9"/>
        <v>2100.44625</v>
      </c>
    </row>
    <row r="31" spans="1:17" s="334" customFormat="1" ht="17.100000000000001" customHeight="1" x14ac:dyDescent="0.25">
      <c r="A31" s="861">
        <v>4</v>
      </c>
      <c r="B31" s="320" t="s">
        <v>186</v>
      </c>
      <c r="C31" s="320">
        <f>'Office Minor'!C45</f>
        <v>1</v>
      </c>
      <c r="D31" s="320">
        <f>'Office Minor'!D45</f>
        <v>1.62</v>
      </c>
      <c r="E31" s="320">
        <f>'Office Minor'!E45</f>
        <v>3034.62</v>
      </c>
      <c r="F31" s="320">
        <f>'Office Minor'!F45</f>
        <v>1972503</v>
      </c>
      <c r="G31" s="320">
        <f>'Office Minor'!G45</f>
        <v>242770</v>
      </c>
      <c r="H31" s="320">
        <f>'Office Minor'!H45</f>
        <v>50</v>
      </c>
      <c r="I31" s="525"/>
      <c r="J31" s="342">
        <f t="shared" si="9"/>
        <v>650</v>
      </c>
      <c r="K31" s="63" t="s">
        <v>512</v>
      </c>
      <c r="L31" s="334">
        <f>'Office Minor'!C48</f>
        <v>0</v>
      </c>
      <c r="M31" s="334">
        <f>'Office Minor'!D48</f>
        <v>0</v>
      </c>
      <c r="N31" s="334">
        <f>'Office Minor'!E48</f>
        <v>0</v>
      </c>
      <c r="O31" s="334">
        <f>'Office Minor'!F48</f>
        <v>0</v>
      </c>
      <c r="P31" s="334">
        <f>'Office Minor'!G48</f>
        <v>0</v>
      </c>
      <c r="Q31" s="334">
        <f>'Office Minor'!H48</f>
        <v>0</v>
      </c>
    </row>
    <row r="32" spans="1:17" s="334" customFormat="1" ht="17.100000000000001" customHeight="1" x14ac:dyDescent="0.25">
      <c r="A32" s="320">
        <v>5</v>
      </c>
      <c r="B32" s="320" t="s">
        <v>35</v>
      </c>
      <c r="C32" s="320">
        <f>'Office Minor'!C46</f>
        <v>8</v>
      </c>
      <c r="D32" s="320">
        <f>'Office Minor'!D46</f>
        <v>22.67</v>
      </c>
      <c r="E32" s="320">
        <f>'Office Minor'!E46</f>
        <v>108549</v>
      </c>
      <c r="F32" s="320">
        <f>'Office Minor'!F46</f>
        <v>37992269</v>
      </c>
      <c r="G32" s="320">
        <f>'Office Minor'!G46</f>
        <v>15739654</v>
      </c>
      <c r="H32" s="320">
        <f>'Office Minor'!H46</f>
        <v>1000</v>
      </c>
      <c r="I32" s="525"/>
      <c r="J32" s="342"/>
      <c r="K32" s="352"/>
    </row>
    <row r="33" spans="1:18" s="334" customFormat="1" ht="17.100000000000001" customHeight="1" x14ac:dyDescent="0.25">
      <c r="A33" s="861">
        <v>6</v>
      </c>
      <c r="B33" s="320" t="s">
        <v>55</v>
      </c>
      <c r="C33" s="320">
        <f>'Office Minor'!C47</f>
        <v>0</v>
      </c>
      <c r="D33" s="320">
        <f>'Office Minor'!D47</f>
        <v>0</v>
      </c>
      <c r="E33" s="320">
        <f>'Office Minor'!E47</f>
        <v>0</v>
      </c>
      <c r="F33" s="320">
        <f>'Office Minor'!F47</f>
        <v>0</v>
      </c>
      <c r="G33" s="320">
        <f>'Office Minor'!G47</f>
        <v>0</v>
      </c>
      <c r="H33" s="320">
        <f>'Office Minor'!H47</f>
        <v>0</v>
      </c>
      <c r="I33" s="525"/>
      <c r="J33" s="342" t="e">
        <f t="shared" si="9"/>
        <v>#DIV/0!</v>
      </c>
      <c r="K33" s="334" t="s">
        <v>513</v>
      </c>
      <c r="L33" s="423"/>
      <c r="M33" s="423"/>
      <c r="N33" s="423"/>
      <c r="O33" s="423"/>
      <c r="P33" s="759"/>
      <c r="Q33" s="423"/>
    </row>
    <row r="34" spans="1:18" s="334" customFormat="1" ht="17.100000000000001" customHeight="1" x14ac:dyDescent="0.25">
      <c r="A34" s="320">
        <v>7</v>
      </c>
      <c r="B34" s="320" t="s">
        <v>54</v>
      </c>
      <c r="C34" s="320">
        <f>L34</f>
        <v>0</v>
      </c>
      <c r="D34" s="320">
        <f t="shared" ref="D34:H34" si="11">M34</f>
        <v>0</v>
      </c>
      <c r="E34" s="320">
        <f t="shared" si="11"/>
        <v>0</v>
      </c>
      <c r="F34" s="320">
        <f t="shared" si="11"/>
        <v>0</v>
      </c>
      <c r="G34" s="320">
        <f t="shared" si="11"/>
        <v>0</v>
      </c>
      <c r="H34" s="320">
        <f t="shared" si="11"/>
        <v>0</v>
      </c>
      <c r="I34" s="525"/>
      <c r="J34" s="342" t="e">
        <f t="shared" si="9"/>
        <v>#DIV/0!</v>
      </c>
      <c r="L34" s="707">
        <f>L31+L33</f>
        <v>0</v>
      </c>
      <c r="M34" s="707">
        <f t="shared" ref="M34:Q34" si="12">M31+M33</f>
        <v>0</v>
      </c>
      <c r="N34" s="707">
        <f t="shared" si="12"/>
        <v>0</v>
      </c>
      <c r="O34" s="707">
        <f t="shared" si="12"/>
        <v>0</v>
      </c>
      <c r="P34" s="707">
        <f t="shared" si="12"/>
        <v>0</v>
      </c>
      <c r="Q34" s="707">
        <f t="shared" si="12"/>
        <v>0</v>
      </c>
    </row>
    <row r="35" spans="1:18" s="334" customFormat="1" ht="17.100000000000001" customHeight="1" x14ac:dyDescent="0.25">
      <c r="A35" s="861">
        <v>8</v>
      </c>
      <c r="B35" s="320" t="s">
        <v>59</v>
      </c>
      <c r="C35" s="320">
        <f>'Office Minor'!C49</f>
        <v>0</v>
      </c>
      <c r="D35" s="320">
        <f>'Office Minor'!D49</f>
        <v>0</v>
      </c>
      <c r="E35" s="320">
        <f>'Office Minor'!E49</f>
        <v>0</v>
      </c>
      <c r="F35" s="320">
        <f>'Office Minor'!F49</f>
        <v>0</v>
      </c>
      <c r="G35" s="320">
        <f>'Office Minor'!G49</f>
        <v>0</v>
      </c>
      <c r="H35" s="320">
        <f>'Office Minor'!H49</f>
        <v>0</v>
      </c>
      <c r="I35" s="525"/>
      <c r="J35" s="342" t="e">
        <f t="shared" si="9"/>
        <v>#DIV/0!</v>
      </c>
    </row>
    <row r="36" spans="1:18" s="334" customFormat="1" ht="17.100000000000001" customHeight="1" x14ac:dyDescent="0.25">
      <c r="A36" s="320">
        <v>9</v>
      </c>
      <c r="B36" s="862" t="s">
        <v>162</v>
      </c>
      <c r="C36" s="320">
        <f>'Office Minor'!C50</f>
        <v>1</v>
      </c>
      <c r="D36" s="320">
        <f>'Office Minor'!D50</f>
        <v>4</v>
      </c>
      <c r="E36" s="320">
        <f>'Office Minor'!E50</f>
        <v>0</v>
      </c>
      <c r="F36" s="320">
        <f>'Office Minor'!F50</f>
        <v>0</v>
      </c>
      <c r="G36" s="320">
        <f>'Office Minor'!G50</f>
        <v>0</v>
      </c>
      <c r="H36" s="320">
        <f>'Office Minor'!H50</f>
        <v>0</v>
      </c>
      <c r="I36" s="525"/>
      <c r="J36" s="342" t="e">
        <f t="shared" si="9"/>
        <v>#DIV/0!</v>
      </c>
    </row>
    <row r="37" spans="1:18" s="334" customFormat="1" ht="17.100000000000001" customHeight="1" x14ac:dyDescent="0.25">
      <c r="A37" s="861">
        <v>10</v>
      </c>
      <c r="B37" s="317" t="s">
        <v>44</v>
      </c>
      <c r="C37" s="320">
        <f>'Office Minor'!C51</f>
        <v>2</v>
      </c>
      <c r="D37" s="320">
        <f>'Office Minor'!D51</f>
        <v>24.05</v>
      </c>
      <c r="E37" s="320">
        <f>'Office Minor'!E51</f>
        <v>9618</v>
      </c>
      <c r="F37" s="320">
        <f>'Office Minor'!F51</f>
        <v>5193720</v>
      </c>
      <c r="G37" s="320">
        <f>'Office Minor'!G51</f>
        <v>903244</v>
      </c>
      <c r="H37" s="320">
        <f>'Office Minor'!H51</f>
        <v>25</v>
      </c>
      <c r="I37" s="525"/>
      <c r="J37" s="342">
        <f t="shared" si="9"/>
        <v>540</v>
      </c>
      <c r="P37" s="342" t="e">
        <f>'Office Minor'!#REF!</f>
        <v>#REF!</v>
      </c>
    </row>
    <row r="38" spans="1:18" s="334" customFormat="1" ht="17.100000000000001" customHeight="1" x14ac:dyDescent="0.25">
      <c r="A38" s="320">
        <v>11</v>
      </c>
      <c r="B38" s="320" t="s">
        <v>73</v>
      </c>
      <c r="C38" s="320">
        <v>0</v>
      </c>
      <c r="D38" s="320">
        <v>0</v>
      </c>
      <c r="E38" s="320">
        <v>0</v>
      </c>
      <c r="F38" s="320">
        <v>0</v>
      </c>
      <c r="G38" s="320">
        <v>0</v>
      </c>
      <c r="H38" s="320">
        <v>0</v>
      </c>
      <c r="I38" s="525"/>
      <c r="J38" s="342" t="e">
        <f t="shared" si="9"/>
        <v>#DIV/0!</v>
      </c>
      <c r="P38" s="342" t="s">
        <v>271</v>
      </c>
      <c r="Q38" s="334" t="s">
        <v>567</v>
      </c>
    </row>
    <row r="39" spans="1:18" s="334" customFormat="1" ht="17.100000000000001" customHeight="1" x14ac:dyDescent="0.25">
      <c r="A39" s="861">
        <v>12</v>
      </c>
      <c r="B39" s="317" t="s">
        <v>46</v>
      </c>
      <c r="C39" s="320">
        <v>0</v>
      </c>
      <c r="D39" s="320">
        <v>0</v>
      </c>
      <c r="E39" s="320">
        <v>0</v>
      </c>
      <c r="F39" s="320">
        <v>0</v>
      </c>
      <c r="G39" s="320">
        <v>0</v>
      </c>
      <c r="H39" s="320">
        <v>0</v>
      </c>
      <c r="I39" s="525"/>
      <c r="J39" s="342" t="e">
        <f t="shared" si="9"/>
        <v>#DIV/0!</v>
      </c>
      <c r="O39" s="334" t="s">
        <v>493</v>
      </c>
      <c r="P39" s="342">
        <f>'Office Minor'!G53</f>
        <v>95691867</v>
      </c>
      <c r="Q39" s="423">
        <v>0</v>
      </c>
      <c r="R39" s="342">
        <f>P39+Q39</f>
        <v>95691867</v>
      </c>
    </row>
    <row r="40" spans="1:18" s="334" customFormat="1" ht="17.100000000000001" customHeight="1" x14ac:dyDescent="0.25">
      <c r="A40" s="861"/>
      <c r="B40" s="861" t="s">
        <v>75</v>
      </c>
      <c r="C40" s="320">
        <f>'Office Minor'!C53</f>
        <v>0</v>
      </c>
      <c r="D40" s="320">
        <f>'Office Minor'!D53</f>
        <v>0</v>
      </c>
      <c r="E40" s="320">
        <f>'Office Minor'!E53</f>
        <v>0</v>
      </c>
      <c r="F40" s="320">
        <f>'Office Minor'!F53</f>
        <v>0</v>
      </c>
      <c r="G40" s="320">
        <f>'Office Minor'!G53</f>
        <v>95691867</v>
      </c>
      <c r="H40" s="320">
        <f>'Office Minor'!H53</f>
        <v>0</v>
      </c>
      <c r="I40" s="525"/>
      <c r="J40" s="342"/>
      <c r="O40" s="334" t="s">
        <v>502</v>
      </c>
      <c r="P40" s="342">
        <f>'Office Minor'!G54</f>
        <v>387600000</v>
      </c>
      <c r="Q40" s="423">
        <v>19592391</v>
      </c>
      <c r="R40" s="342">
        <f>P40+Q40</f>
        <v>407192391</v>
      </c>
    </row>
    <row r="41" spans="1:18" s="334" customFormat="1" ht="17.100000000000001" customHeight="1" x14ac:dyDescent="0.25">
      <c r="A41" s="853"/>
      <c r="B41" s="863" t="s">
        <v>49</v>
      </c>
      <c r="C41" s="320">
        <f>'Office Minor'!C54</f>
        <v>0</v>
      </c>
      <c r="D41" s="320">
        <f>'Office Minor'!D54</f>
        <v>0</v>
      </c>
      <c r="E41" s="320">
        <f>'Office Minor'!E54</f>
        <v>0</v>
      </c>
      <c r="F41" s="320">
        <f>'Office Minor'!F54</f>
        <v>0</v>
      </c>
      <c r="G41" s="320">
        <f>'Office Minor'!G54</f>
        <v>387600000</v>
      </c>
      <c r="H41" s="320">
        <f>'Office Minor'!H54</f>
        <v>0</v>
      </c>
      <c r="I41" s="523"/>
      <c r="J41" s="342"/>
    </row>
    <row r="42" spans="1:18" s="334" customFormat="1" ht="17.100000000000001" customHeight="1" x14ac:dyDescent="0.25">
      <c r="A42" s="1279" t="s">
        <v>50</v>
      </c>
      <c r="B42" s="1279"/>
      <c r="C42" s="505">
        <f t="shared" ref="C42:H42" si="13">SUM(C28:C41)</f>
        <v>330</v>
      </c>
      <c r="D42" s="505">
        <f t="shared" si="13"/>
        <v>408.86</v>
      </c>
      <c r="E42" s="505">
        <f t="shared" si="13"/>
        <v>9599678.6199999992</v>
      </c>
      <c r="F42" s="505">
        <f t="shared" si="13"/>
        <v>6527084949</v>
      </c>
      <c r="G42" s="505">
        <f t="shared" si="13"/>
        <v>1229979060</v>
      </c>
      <c r="H42" s="505">
        <f t="shared" si="13"/>
        <v>9135</v>
      </c>
      <c r="I42" s="524">
        <f>G42+Distt.Major!G24</f>
        <v>1229979060</v>
      </c>
      <c r="J42" s="342"/>
    </row>
    <row r="43" spans="1:18" s="334" customFormat="1" ht="17.100000000000001" customHeight="1" x14ac:dyDescent="0.25">
      <c r="A43" s="513"/>
      <c r="B43" s="513"/>
      <c r="C43" s="513"/>
      <c r="D43" s="513"/>
      <c r="E43" s="513"/>
      <c r="F43" s="513"/>
      <c r="G43" s="513"/>
      <c r="H43" s="513"/>
      <c r="I43" s="523"/>
      <c r="J43" s="342"/>
    </row>
    <row r="44" spans="1:18" s="334" customFormat="1" ht="17.100000000000001" customHeight="1" x14ac:dyDescent="0.25">
      <c r="A44" s="1264" t="s">
        <v>242</v>
      </c>
      <c r="B44" s="1264"/>
      <c r="C44" s="1264"/>
      <c r="D44" s="1264"/>
      <c r="E44" s="1264"/>
      <c r="F44" s="1264"/>
      <c r="G44" s="1264"/>
      <c r="H44" s="1264"/>
      <c r="I44" s="523"/>
      <c r="J44" s="342"/>
    </row>
    <row r="45" spans="1:18" s="334" customFormat="1" ht="17.100000000000001" customHeight="1" x14ac:dyDescent="0.25">
      <c r="A45" s="1225" t="s">
        <v>182</v>
      </c>
      <c r="B45" s="1225" t="s">
        <v>3</v>
      </c>
      <c r="C45" s="1225" t="s">
        <v>4</v>
      </c>
      <c r="D45" s="834" t="s">
        <v>5</v>
      </c>
      <c r="E45" s="68" t="s">
        <v>6</v>
      </c>
      <c r="F45" s="833" t="s">
        <v>7</v>
      </c>
      <c r="G45" s="833" t="s">
        <v>8</v>
      </c>
      <c r="H45" s="68" t="s">
        <v>9</v>
      </c>
      <c r="I45" s="523"/>
      <c r="J45" s="342"/>
    </row>
    <row r="46" spans="1:18" s="334" customFormat="1" ht="17.100000000000001" customHeight="1" x14ac:dyDescent="0.25">
      <c r="A46" s="1230"/>
      <c r="B46" s="1230"/>
      <c r="C46" s="1230"/>
      <c r="D46" s="864" t="s">
        <v>78</v>
      </c>
      <c r="E46" s="75" t="s">
        <v>79</v>
      </c>
      <c r="F46" s="865" t="s">
        <v>80</v>
      </c>
      <c r="G46" s="865" t="s">
        <v>80</v>
      </c>
      <c r="H46" s="75" t="s">
        <v>13</v>
      </c>
      <c r="I46" s="523"/>
      <c r="J46" s="342"/>
    </row>
    <row r="47" spans="1:18" s="334" customFormat="1" ht="17.100000000000001" customHeight="1" x14ac:dyDescent="0.25">
      <c r="A47" s="316">
        <v>1</v>
      </c>
      <c r="B47" s="320" t="s">
        <v>62</v>
      </c>
      <c r="C47" s="320">
        <f>'Office Minor'!C74</f>
        <v>88</v>
      </c>
      <c r="D47" s="320">
        <f>'Office Minor'!D74</f>
        <v>151.82</v>
      </c>
      <c r="E47" s="320">
        <f>'Office Minor'!E74</f>
        <v>1240435</v>
      </c>
      <c r="F47" s="320">
        <f>'Office Minor'!F74</f>
        <v>2294804491</v>
      </c>
      <c r="G47" s="320">
        <f>'Office Minor'!G74</f>
        <v>284401020</v>
      </c>
      <c r="H47" s="320">
        <f>'Office Minor'!H74</f>
        <v>350</v>
      </c>
      <c r="I47" s="523"/>
      <c r="J47" s="342">
        <f>F47/E47</f>
        <v>1849.9997912022798</v>
      </c>
    </row>
    <row r="48" spans="1:18" s="334" customFormat="1" ht="17.100000000000001" customHeight="1" x14ac:dyDescent="0.25">
      <c r="A48" s="316">
        <f>+A47+1</f>
        <v>2</v>
      </c>
      <c r="B48" s="320" t="s">
        <v>60</v>
      </c>
      <c r="C48" s="320">
        <f>'Office Minor'!C75</f>
        <v>3</v>
      </c>
      <c r="D48" s="320">
        <f>'Office Minor'!D75</f>
        <v>3.86</v>
      </c>
      <c r="E48" s="320">
        <f>'Office Minor'!E75</f>
        <v>2616</v>
      </c>
      <c r="F48" s="320">
        <f>'Office Minor'!F75</f>
        <v>928722</v>
      </c>
      <c r="G48" s="320">
        <f>'Office Minor'!G75</f>
        <v>379337</v>
      </c>
      <c r="H48" s="320">
        <f>'Office Minor'!H75</f>
        <v>10</v>
      </c>
      <c r="I48" s="523"/>
      <c r="J48" s="342">
        <f t="shared" ref="J48:J53" si="14">F48/E48</f>
        <v>355.01605504587155</v>
      </c>
    </row>
    <row r="49" spans="1:17" s="334" customFormat="1" ht="17.100000000000001" customHeight="1" x14ac:dyDescent="0.25">
      <c r="A49" s="316">
        <f>+A48+1</f>
        <v>3</v>
      </c>
      <c r="B49" s="320" t="s">
        <v>63</v>
      </c>
      <c r="C49" s="320">
        <f>'Office Minor'!C76</f>
        <v>59</v>
      </c>
      <c r="D49" s="320">
        <f>'Office Minor'!D76</f>
        <v>61.68</v>
      </c>
      <c r="E49" s="320">
        <f>'Office Minor'!E76</f>
        <v>943494</v>
      </c>
      <c r="F49" s="320">
        <f>'Office Minor'!F76</f>
        <v>197275758</v>
      </c>
      <c r="G49" s="320">
        <f>'Office Minor'!G76</f>
        <v>37650257</v>
      </c>
      <c r="H49" s="320">
        <f>'Office Minor'!H76</f>
        <v>258</v>
      </c>
      <c r="I49" s="523"/>
      <c r="J49" s="342">
        <f t="shared" si="14"/>
        <v>209.090633326762</v>
      </c>
    </row>
    <row r="50" spans="1:17" s="334" customFormat="1" ht="17.100000000000001" customHeight="1" x14ac:dyDescent="0.25">
      <c r="A50" s="316">
        <f t="shared" ref="A50:A53" si="15">+A49+1</f>
        <v>4</v>
      </c>
      <c r="B50" s="320" t="s">
        <v>59</v>
      </c>
      <c r="C50" s="320">
        <f>'Office Minor'!C77</f>
        <v>0</v>
      </c>
      <c r="D50" s="320">
        <f>'Office Minor'!D77</f>
        <v>0</v>
      </c>
      <c r="E50" s="320">
        <f>'Office Minor'!E77</f>
        <v>0</v>
      </c>
      <c r="F50" s="320">
        <f>'Office Minor'!F77</f>
        <v>0</v>
      </c>
      <c r="G50" s="320">
        <f>'Office Minor'!G77</f>
        <v>0</v>
      </c>
      <c r="H50" s="320">
        <f>'Office Minor'!H77</f>
        <v>0</v>
      </c>
      <c r="I50" s="523"/>
      <c r="J50" s="342" t="e">
        <f t="shared" si="14"/>
        <v>#DIV/0!</v>
      </c>
    </row>
    <row r="51" spans="1:17" s="334" customFormat="1" ht="17.100000000000001" customHeight="1" x14ac:dyDescent="0.25">
      <c r="A51" s="316">
        <f t="shared" si="15"/>
        <v>5</v>
      </c>
      <c r="B51" s="320" t="s">
        <v>54</v>
      </c>
      <c r="C51" s="320">
        <f>'Office Minor'!C78</f>
        <v>0</v>
      </c>
      <c r="D51" s="320">
        <f>'Office Minor'!D78</f>
        <v>0</v>
      </c>
      <c r="E51" s="320">
        <f>'Office Minor'!E78</f>
        <v>4356.0200000000004</v>
      </c>
      <c r="F51" s="320">
        <f>'Office Minor'!F78</f>
        <v>958324</v>
      </c>
      <c r="G51" s="320">
        <f>'Office Minor'!G78</f>
        <v>273710</v>
      </c>
      <c r="H51" s="320">
        <f>'Office Minor'!H78</f>
        <v>25</v>
      </c>
      <c r="I51" s="523"/>
      <c r="J51" s="342">
        <f t="shared" si="14"/>
        <v>219.99990817305704</v>
      </c>
    </row>
    <row r="52" spans="1:17" s="334" customFormat="1" ht="17.100000000000001" customHeight="1" x14ac:dyDescent="0.25">
      <c r="A52" s="316">
        <f t="shared" si="15"/>
        <v>6</v>
      </c>
      <c r="B52" s="317" t="s">
        <v>27</v>
      </c>
      <c r="C52" s="320">
        <f>'Office Minor'!C79</f>
        <v>1</v>
      </c>
      <c r="D52" s="320">
        <f>'Office Minor'!D79</f>
        <v>71.319999999999993</v>
      </c>
      <c r="E52" s="320">
        <f>'Office Minor'!E79</f>
        <v>18004</v>
      </c>
      <c r="F52" s="320">
        <f>'Office Minor'!F79</f>
        <v>32407812</v>
      </c>
      <c r="G52" s="320">
        <f>'Office Minor'!G79</f>
        <v>4054822</v>
      </c>
      <c r="H52" s="320">
        <f>'Office Minor'!H79</f>
        <v>20</v>
      </c>
      <c r="I52" s="523"/>
      <c r="J52" s="342">
        <f t="shared" si="14"/>
        <v>1800.0339924461232</v>
      </c>
    </row>
    <row r="53" spans="1:17" s="334" customFormat="1" ht="17.100000000000001" customHeight="1" x14ac:dyDescent="0.25">
      <c r="A53" s="316">
        <f t="shared" si="15"/>
        <v>7</v>
      </c>
      <c r="B53" s="317" t="s">
        <v>46</v>
      </c>
      <c r="C53" s="320">
        <f>'Office Minor'!C80</f>
        <v>1</v>
      </c>
      <c r="D53" s="320">
        <f>'Office Minor'!D80</f>
        <v>63.39</v>
      </c>
      <c r="E53" s="320">
        <f>'Office Minor'!E80</f>
        <v>2786</v>
      </c>
      <c r="F53" s="320">
        <f>'Office Minor'!F80</f>
        <v>3901254</v>
      </c>
      <c r="G53" s="320">
        <f>'Office Minor'!G80</f>
        <v>518716</v>
      </c>
      <c r="H53" s="320">
        <f>'Office Minor'!H80</f>
        <v>20</v>
      </c>
      <c r="I53" s="523"/>
      <c r="J53" s="342">
        <f t="shared" si="14"/>
        <v>1400.3065326633166</v>
      </c>
    </row>
    <row r="54" spans="1:17" s="334" customFormat="1" ht="17.100000000000001" customHeight="1" x14ac:dyDescent="0.25">
      <c r="A54" s="316">
        <v>8</v>
      </c>
      <c r="B54" s="317" t="s">
        <v>40</v>
      </c>
      <c r="C54" s="320">
        <f>'Office Minor'!C81</f>
        <v>4</v>
      </c>
      <c r="D54" s="320">
        <f>'Office Minor'!D81</f>
        <v>4.25</v>
      </c>
      <c r="E54" s="320">
        <f>'Office Minor'!E81</f>
        <v>99961.57</v>
      </c>
      <c r="F54" s="320">
        <f>'Office Minor'!F81</f>
        <v>59616405</v>
      </c>
      <c r="G54" s="320">
        <f>'Office Minor'!G81</f>
        <v>13240338</v>
      </c>
      <c r="H54" s="320">
        <f>'Office Minor'!H81</f>
        <v>25</v>
      </c>
      <c r="I54" s="523"/>
      <c r="J54" s="342"/>
    </row>
    <row r="55" spans="1:17" s="334" customFormat="1" ht="17.100000000000001" customHeight="1" x14ac:dyDescent="0.25">
      <c r="A55" s="316">
        <v>9</v>
      </c>
      <c r="B55" s="317" t="s">
        <v>58</v>
      </c>
      <c r="C55" s="320">
        <f>'Office Minor'!C82</f>
        <v>1</v>
      </c>
      <c r="D55" s="320">
        <f>'Office Minor'!D82</f>
        <v>1.55</v>
      </c>
      <c r="E55" s="320">
        <f>'Office Minor'!E82</f>
        <v>389.44</v>
      </c>
      <c r="F55" s="320">
        <f>'Office Minor'!F82</f>
        <v>817824</v>
      </c>
      <c r="G55" s="320">
        <f>'Office Minor'!G82</f>
        <v>82419</v>
      </c>
      <c r="H55" s="320">
        <f>'Office Minor'!H82</f>
        <v>10</v>
      </c>
      <c r="I55" s="523"/>
      <c r="J55" s="342"/>
    </row>
    <row r="56" spans="1:17" s="334" customFormat="1" ht="17.100000000000001" customHeight="1" x14ac:dyDescent="0.25">
      <c r="A56" s="316"/>
      <c r="B56" s="320" t="s">
        <v>75</v>
      </c>
      <c r="C56" s="320">
        <f>'Office Minor'!C83</f>
        <v>0</v>
      </c>
      <c r="D56" s="320">
        <f>'Office Minor'!D83</f>
        <v>0</v>
      </c>
      <c r="E56" s="320">
        <f>'Office Minor'!E83</f>
        <v>0</v>
      </c>
      <c r="F56" s="320">
        <f>'Office Minor'!F83</f>
        <v>0</v>
      </c>
      <c r="G56" s="320">
        <f>'Office Minor'!G83</f>
        <v>43098980</v>
      </c>
      <c r="H56" s="320">
        <f>'Office Minor'!H83</f>
        <v>0</v>
      </c>
      <c r="I56" s="523"/>
      <c r="J56" s="342"/>
    </row>
    <row r="57" spans="1:17" s="334" customFormat="1" ht="17.100000000000001" customHeight="1" x14ac:dyDescent="0.25">
      <c r="A57" s="316"/>
      <c r="B57" s="320" t="s">
        <v>49</v>
      </c>
      <c r="C57" s="320">
        <f>'Office Minor'!C84</f>
        <v>0</v>
      </c>
      <c r="D57" s="320">
        <f>'Office Minor'!D84</f>
        <v>0</v>
      </c>
      <c r="E57" s="320">
        <f>'Office Minor'!E84</f>
        <v>0</v>
      </c>
      <c r="F57" s="320">
        <f>'Office Minor'!F84</f>
        <v>0</v>
      </c>
      <c r="G57" s="320">
        <f>'Office Minor'!G84</f>
        <v>91333372</v>
      </c>
      <c r="H57" s="320">
        <f>'Office Minor'!H84</f>
        <v>0</v>
      </c>
      <c r="I57" s="523"/>
      <c r="J57" s="342"/>
    </row>
    <row r="58" spans="1:17" s="334" customFormat="1" ht="17.100000000000001" customHeight="1" x14ac:dyDescent="0.25">
      <c r="A58" s="1231" t="s">
        <v>50</v>
      </c>
      <c r="B58" s="1232"/>
      <c r="C58" s="497">
        <f t="shared" ref="C58:H58" si="16">SUM(C47:C57)</f>
        <v>157</v>
      </c>
      <c r="D58" s="497">
        <f t="shared" si="16"/>
        <v>357.87</v>
      </c>
      <c r="E58" s="497">
        <f t="shared" si="16"/>
        <v>2312042.0299999998</v>
      </c>
      <c r="F58" s="497">
        <f t="shared" si="16"/>
        <v>2590710590</v>
      </c>
      <c r="G58" s="497">
        <f t="shared" si="16"/>
        <v>475032971</v>
      </c>
      <c r="H58" s="497">
        <f t="shared" si="16"/>
        <v>718</v>
      </c>
      <c r="I58" s="524">
        <f>G58+Distt.Major!G31</f>
        <v>583299611</v>
      </c>
      <c r="J58" s="342"/>
    </row>
    <row r="59" spans="1:17" s="334" customFormat="1" ht="17.100000000000001" customHeight="1" x14ac:dyDescent="0.25">
      <c r="A59" s="866"/>
      <c r="B59" s="867"/>
      <c r="C59" s="867"/>
      <c r="D59" s="868"/>
      <c r="E59" s="868"/>
      <c r="F59" s="869"/>
      <c r="G59" s="869"/>
      <c r="H59" s="870"/>
      <c r="I59" s="523"/>
      <c r="J59" s="342"/>
    </row>
    <row r="60" spans="1:17" s="334" customFormat="1" ht="17.100000000000001" customHeight="1" x14ac:dyDescent="0.25">
      <c r="A60" s="1264" t="s">
        <v>281</v>
      </c>
      <c r="B60" s="1264"/>
      <c r="C60" s="1264"/>
      <c r="D60" s="1264"/>
      <c r="E60" s="1264"/>
      <c r="F60" s="1264"/>
      <c r="G60" s="1264"/>
      <c r="H60" s="1264"/>
      <c r="I60" s="523"/>
      <c r="J60" s="342"/>
    </row>
    <row r="61" spans="1:17" s="334" customFormat="1" ht="17.100000000000001" customHeight="1" x14ac:dyDescent="0.25">
      <c r="A61" s="1225" t="s">
        <v>182</v>
      </c>
      <c r="B61" s="1225" t="s">
        <v>3</v>
      </c>
      <c r="C61" s="1225" t="s">
        <v>4</v>
      </c>
      <c r="D61" s="834" t="s">
        <v>5</v>
      </c>
      <c r="E61" s="68" t="s">
        <v>6</v>
      </c>
      <c r="F61" s="833" t="s">
        <v>7</v>
      </c>
      <c r="G61" s="833" t="s">
        <v>8</v>
      </c>
      <c r="H61" s="68" t="s">
        <v>9</v>
      </c>
      <c r="I61" s="523"/>
      <c r="J61" s="342"/>
    </row>
    <row r="62" spans="1:17" s="334" customFormat="1" ht="17.100000000000001" customHeight="1" x14ac:dyDescent="0.25">
      <c r="A62" s="1230"/>
      <c r="B62" s="1230"/>
      <c r="C62" s="1230"/>
      <c r="D62" s="864" t="s">
        <v>78</v>
      </c>
      <c r="E62" s="75" t="s">
        <v>79</v>
      </c>
      <c r="F62" s="865" t="s">
        <v>80</v>
      </c>
      <c r="G62" s="865" t="s">
        <v>80</v>
      </c>
      <c r="H62" s="75" t="s">
        <v>13</v>
      </c>
      <c r="I62" s="523"/>
      <c r="J62" s="342"/>
      <c r="K62" s="334" t="s">
        <v>587</v>
      </c>
      <c r="L62" s="334">
        <f>'Office Minor'!C104</f>
        <v>61</v>
      </c>
      <c r="M62" s="334">
        <f>'Office Minor'!D104</f>
        <v>151.66999999999999</v>
      </c>
      <c r="N62" s="334">
        <f>'Office Minor'!E104</f>
        <v>106840</v>
      </c>
      <c r="O62" s="334">
        <f>'Office Minor'!F104</f>
        <v>229707634</v>
      </c>
      <c r="P62" s="334">
        <f>'Office Minor'!G104</f>
        <v>66962590</v>
      </c>
      <c r="Q62" s="334">
        <f>'Office Minor'!H104</f>
        <v>875</v>
      </c>
    </row>
    <row r="63" spans="1:17" s="334" customFormat="1" ht="17.100000000000001" customHeight="1" x14ac:dyDescent="0.25">
      <c r="A63" s="324">
        <v>1</v>
      </c>
      <c r="B63" s="320" t="s">
        <v>58</v>
      </c>
      <c r="C63" s="320">
        <f>'Office Minor'!C104</f>
        <v>61</v>
      </c>
      <c r="D63" s="320">
        <f>'Office Minor'!D104</f>
        <v>151.66999999999999</v>
      </c>
      <c r="E63" s="320">
        <f>'Office Minor'!E104</f>
        <v>106840</v>
      </c>
      <c r="F63" s="320">
        <f>'Office Minor'!F104</f>
        <v>229707634</v>
      </c>
      <c r="G63" s="320">
        <f>'Office Minor'!G104</f>
        <v>66962590</v>
      </c>
      <c r="H63" s="320">
        <f>'Office Minor'!H104</f>
        <v>875</v>
      </c>
      <c r="I63" s="523"/>
      <c r="J63" s="342">
        <f>F63/E63</f>
        <v>2150.0152938974165</v>
      </c>
      <c r="K63" s="334" t="s">
        <v>588</v>
      </c>
      <c r="L63" s="334">
        <f>'Office Minor'!C382-K310</f>
        <v>352</v>
      </c>
      <c r="M63" s="334">
        <f>'Office Minor'!D382-L310</f>
        <v>757.17700000000002</v>
      </c>
      <c r="N63" s="334">
        <f>'Office Minor'!E382-M310</f>
        <v>925819.37</v>
      </c>
      <c r="O63" s="334">
        <f>'Office Minor'!F382-N310</f>
        <v>1990511646</v>
      </c>
      <c r="P63" s="334">
        <f>'Office Minor'!G382-O310</f>
        <v>268487545</v>
      </c>
      <c r="Q63" s="334">
        <f>'Office Minor'!H382-P310</f>
        <v>2272</v>
      </c>
    </row>
    <row r="64" spans="1:17" s="334" customFormat="1" ht="17.100000000000001" customHeight="1" x14ac:dyDescent="0.25">
      <c r="A64" s="324">
        <v>2</v>
      </c>
      <c r="B64" s="320" t="s">
        <v>53</v>
      </c>
      <c r="C64" s="320">
        <f>'Office Minor'!C105</f>
        <v>36</v>
      </c>
      <c r="D64" s="320">
        <f>'Office Minor'!D105</f>
        <v>90.07</v>
      </c>
      <c r="E64" s="320">
        <f>'Office Minor'!E105</f>
        <v>444026</v>
      </c>
      <c r="F64" s="320">
        <f>'Office Minor'!F105</f>
        <v>288617394</v>
      </c>
      <c r="G64" s="320">
        <f>'Office Minor'!G105</f>
        <v>90809769</v>
      </c>
      <c r="H64" s="320">
        <f>'Office Minor'!H105</f>
        <v>325</v>
      </c>
      <c r="I64" s="523"/>
      <c r="J64" s="342">
        <f t="shared" ref="J64:J72" si="17">F64/E64</f>
        <v>650.00111254746344</v>
      </c>
      <c r="K64" s="707" t="s">
        <v>50</v>
      </c>
      <c r="L64" s="707">
        <f>L62+L63</f>
        <v>413</v>
      </c>
      <c r="M64" s="707">
        <f t="shared" ref="M64:Q64" si="18">M62+M63</f>
        <v>908.84699999999998</v>
      </c>
      <c r="N64" s="707">
        <f t="shared" si="18"/>
        <v>1032659.37</v>
      </c>
      <c r="O64" s="707">
        <f t="shared" si="18"/>
        <v>2220219280</v>
      </c>
      <c r="P64" s="707">
        <f t="shared" si="18"/>
        <v>335450135</v>
      </c>
      <c r="Q64" s="707">
        <f t="shared" si="18"/>
        <v>3147</v>
      </c>
    </row>
    <row r="65" spans="1:17" s="334" customFormat="1" ht="17.100000000000001" customHeight="1" x14ac:dyDescent="0.25">
      <c r="A65" s="324">
        <v>3</v>
      </c>
      <c r="B65" s="320" t="s">
        <v>71</v>
      </c>
      <c r="C65" s="320">
        <f>'Office Minor'!C106</f>
        <v>1</v>
      </c>
      <c r="D65" s="320">
        <f>'Office Minor'!D106</f>
        <v>2</v>
      </c>
      <c r="E65" s="320">
        <f>'Office Minor'!E106</f>
        <v>940</v>
      </c>
      <c r="F65" s="320">
        <f>'Office Minor'!F106</f>
        <v>705000</v>
      </c>
      <c r="G65" s="320">
        <f>'Office Minor'!G106</f>
        <v>140000</v>
      </c>
      <c r="H65" s="320">
        <f>'Office Minor'!H106</f>
        <v>2</v>
      </c>
      <c r="I65" s="523"/>
      <c r="J65" s="342">
        <f t="shared" si="17"/>
        <v>750</v>
      </c>
    </row>
    <row r="66" spans="1:17" s="334" customFormat="1" ht="17.100000000000001" customHeight="1" x14ac:dyDescent="0.25">
      <c r="A66" s="324">
        <v>4</v>
      </c>
      <c r="B66" s="320" t="s">
        <v>189</v>
      </c>
      <c r="C66" s="320">
        <f>L68</f>
        <v>401</v>
      </c>
      <c r="D66" s="320">
        <f t="shared" ref="D66:H66" si="19">M68</f>
        <v>429.65</v>
      </c>
      <c r="E66" s="320">
        <f t="shared" si="19"/>
        <v>5929888</v>
      </c>
      <c r="F66" s="320">
        <f t="shared" si="19"/>
        <v>1245276638</v>
      </c>
      <c r="G66" s="320">
        <f t="shared" si="19"/>
        <v>401424299</v>
      </c>
      <c r="H66" s="320">
        <f t="shared" si="19"/>
        <v>3025</v>
      </c>
      <c r="I66" s="523"/>
      <c r="J66" s="342">
        <f t="shared" si="17"/>
        <v>210.00002664468536</v>
      </c>
      <c r="K66" s="334" t="s">
        <v>589</v>
      </c>
      <c r="L66" s="334">
        <f>'Office Minor'!C107</f>
        <v>401</v>
      </c>
      <c r="M66" s="334">
        <f>'Office Minor'!D107</f>
        <v>429.65</v>
      </c>
      <c r="N66" s="334">
        <f>'Office Minor'!E107</f>
        <v>5929888</v>
      </c>
      <c r="O66" s="334">
        <f>'Office Minor'!F107</f>
        <v>1245276638</v>
      </c>
      <c r="P66" s="334">
        <f>'Office Minor'!G107</f>
        <v>401424299</v>
      </c>
      <c r="Q66" s="334">
        <f>'Office Minor'!H107</f>
        <v>3025</v>
      </c>
    </row>
    <row r="67" spans="1:17" s="334" customFormat="1" ht="17.100000000000001" customHeight="1" x14ac:dyDescent="0.25">
      <c r="A67" s="324">
        <v>5</v>
      </c>
      <c r="B67" s="320" t="s">
        <v>190</v>
      </c>
      <c r="C67" s="320">
        <f>'Office Minor'!C108</f>
        <v>10</v>
      </c>
      <c r="D67" s="320">
        <f>'Office Minor'!D108</f>
        <v>24.95</v>
      </c>
      <c r="E67" s="320">
        <f>'Office Minor'!E108</f>
        <v>17286</v>
      </c>
      <c r="F67" s="320">
        <f>'Office Minor'!F108</f>
        <v>11236114</v>
      </c>
      <c r="G67" s="320">
        <f>'Office Minor'!G108</f>
        <v>2875723</v>
      </c>
      <c r="H67" s="320">
        <f>'Office Minor'!H108</f>
        <v>30</v>
      </c>
      <c r="I67" s="523"/>
      <c r="J67" s="342">
        <f t="shared" si="17"/>
        <v>650.01237996066186</v>
      </c>
      <c r="K67" s="334" t="s">
        <v>590</v>
      </c>
      <c r="L67" s="334">
        <f>K313</f>
        <v>0</v>
      </c>
      <c r="M67" s="334">
        <f t="shared" ref="M67:Q67" si="20">L313</f>
        <v>0</v>
      </c>
      <c r="N67" s="334">
        <f t="shared" si="20"/>
        <v>0</v>
      </c>
      <c r="O67" s="334">
        <f t="shared" si="20"/>
        <v>0</v>
      </c>
      <c r="P67" s="334">
        <f t="shared" si="20"/>
        <v>0</v>
      </c>
      <c r="Q67" s="334">
        <f t="shared" si="20"/>
        <v>0</v>
      </c>
    </row>
    <row r="68" spans="1:17" s="334" customFormat="1" ht="17.100000000000001" customHeight="1" x14ac:dyDescent="0.25">
      <c r="A68" s="324">
        <v>6</v>
      </c>
      <c r="B68" s="320" t="s">
        <v>59</v>
      </c>
      <c r="C68" s="320">
        <f>'Office Minor'!C383+'Office Minor'!C109</f>
        <v>5</v>
      </c>
      <c r="D68" s="320">
        <f>'Office Minor'!D383+'Office Minor'!D109</f>
        <v>9351.14</v>
      </c>
      <c r="E68" s="320">
        <f>'Office Minor'!E383+'Office Minor'!E109</f>
        <v>2256591</v>
      </c>
      <c r="F68" s="320">
        <f>'Office Minor'!F383+'Office Minor'!F109</f>
        <v>1241125314</v>
      </c>
      <c r="G68" s="320">
        <f>'Office Minor'!G383+'Office Minor'!G109</f>
        <v>140258580</v>
      </c>
      <c r="H68" s="320">
        <f>'Office Minor'!H383+'Office Minor'!H109</f>
        <v>638</v>
      </c>
      <c r="I68" s="523"/>
      <c r="J68" s="342">
        <f t="shared" si="17"/>
        <v>550.00011699062884</v>
      </c>
      <c r="K68" s="707" t="s">
        <v>50</v>
      </c>
      <c r="L68" s="707">
        <f>L67+L66</f>
        <v>401</v>
      </c>
      <c r="M68" s="707">
        <f t="shared" ref="M68:Q68" si="21">M67+M66</f>
        <v>429.65</v>
      </c>
      <c r="N68" s="707">
        <f t="shared" si="21"/>
        <v>5929888</v>
      </c>
      <c r="O68" s="707">
        <f t="shared" si="21"/>
        <v>1245276638</v>
      </c>
      <c r="P68" s="707">
        <f t="shared" si="21"/>
        <v>401424299</v>
      </c>
      <c r="Q68" s="707">
        <f t="shared" si="21"/>
        <v>3025</v>
      </c>
    </row>
    <row r="69" spans="1:17" s="334" customFormat="1" ht="17.100000000000001" customHeight="1" x14ac:dyDescent="0.25">
      <c r="A69" s="324">
        <v>7</v>
      </c>
      <c r="B69" s="317" t="s">
        <v>26</v>
      </c>
      <c r="C69" s="320">
        <f>'Office Minor'!C110</f>
        <v>2</v>
      </c>
      <c r="D69" s="320">
        <f>'Office Minor'!D110</f>
        <v>10</v>
      </c>
      <c r="E69" s="320">
        <f>'Office Minor'!E110</f>
        <v>0</v>
      </c>
      <c r="F69" s="320">
        <f>'Office Minor'!F110</f>
        <v>0</v>
      </c>
      <c r="G69" s="320">
        <f>'Office Minor'!G110</f>
        <v>280705</v>
      </c>
      <c r="H69" s="320">
        <f>'Office Minor'!H110</f>
        <v>2</v>
      </c>
      <c r="I69" s="523"/>
      <c r="J69" s="342" t="e">
        <f t="shared" si="17"/>
        <v>#DIV/0!</v>
      </c>
    </row>
    <row r="70" spans="1:17" s="334" customFormat="1" ht="17.100000000000001" customHeight="1" x14ac:dyDescent="0.25">
      <c r="A70" s="324">
        <v>8</v>
      </c>
      <c r="B70" s="317" t="s">
        <v>31</v>
      </c>
      <c r="C70" s="320">
        <f>'Office Minor'!C111</f>
        <v>2</v>
      </c>
      <c r="D70" s="320">
        <f>'Office Minor'!D111</f>
        <v>340.68</v>
      </c>
      <c r="E70" s="320">
        <f>'Office Minor'!E111</f>
        <v>923446</v>
      </c>
      <c r="F70" s="320">
        <f>'Office Minor'!F111</f>
        <v>629584590</v>
      </c>
      <c r="G70" s="320">
        <f>'Office Minor'!G111</f>
        <v>166149943</v>
      </c>
      <c r="H70" s="320">
        <f>'Office Minor'!H111</f>
        <v>330</v>
      </c>
      <c r="I70" s="523"/>
      <c r="J70" s="342">
        <f t="shared" si="17"/>
        <v>681.77737517949072</v>
      </c>
      <c r="K70" s="334" t="s">
        <v>591</v>
      </c>
      <c r="L70" s="334">
        <f>K316</f>
        <v>3</v>
      </c>
      <c r="M70" s="334">
        <f t="shared" ref="M70:Q70" si="22">L316</f>
        <v>1142.8399999999999</v>
      </c>
      <c r="N70" s="334">
        <f t="shared" si="22"/>
        <v>283578</v>
      </c>
      <c r="O70" s="334">
        <f t="shared" si="22"/>
        <v>155967900</v>
      </c>
      <c r="P70" s="334">
        <f t="shared" si="22"/>
        <v>12574287</v>
      </c>
      <c r="Q70" s="334">
        <f t="shared" si="22"/>
        <v>438</v>
      </c>
    </row>
    <row r="71" spans="1:17" s="334" customFormat="1" ht="17.100000000000001" customHeight="1" x14ac:dyDescent="0.25">
      <c r="A71" s="324">
        <v>9</v>
      </c>
      <c r="B71" s="317" t="str">
        <f>'Office Minor'!B113</f>
        <v>Greval</v>
      </c>
      <c r="C71" s="317">
        <f>'Office Minor'!C113</f>
        <v>1</v>
      </c>
      <c r="D71" s="317">
        <f>'Office Minor'!D113</f>
        <v>1</v>
      </c>
      <c r="E71" s="317">
        <f>'Office Minor'!E113</f>
        <v>0</v>
      </c>
      <c r="F71" s="317">
        <f>'Office Minor'!F113</f>
        <v>0</v>
      </c>
      <c r="G71" s="317">
        <f>'Office Minor'!G113</f>
        <v>40000</v>
      </c>
      <c r="H71" s="317">
        <f>'Office Minor'!H113</f>
        <v>2</v>
      </c>
      <c r="I71" s="523"/>
      <c r="J71" s="342"/>
      <c r="K71" s="334" t="s">
        <v>600</v>
      </c>
      <c r="L71" s="334">
        <f>'Office Minor'!C109</f>
        <v>2</v>
      </c>
      <c r="M71" s="334">
        <f>'Office Minor'!D109</f>
        <v>8208.2999999999993</v>
      </c>
      <c r="N71" s="334">
        <f>'Office Minor'!E109</f>
        <v>1973013</v>
      </c>
      <c r="O71" s="334">
        <f>'Office Minor'!F109</f>
        <v>1085157414</v>
      </c>
      <c r="P71" s="334">
        <f>'Office Minor'!G109</f>
        <v>127684293</v>
      </c>
      <c r="Q71" s="334">
        <f>'Office Minor'!H109</f>
        <v>200</v>
      </c>
    </row>
    <row r="72" spans="1:17" s="334" customFormat="1" ht="17.100000000000001" customHeight="1" x14ac:dyDescent="0.25">
      <c r="A72" s="324">
        <v>10</v>
      </c>
      <c r="B72" s="317" t="s">
        <v>44</v>
      </c>
      <c r="C72" s="320">
        <f>'Office Minor'!C112</f>
        <v>9</v>
      </c>
      <c r="D72" s="320">
        <f>'Office Minor'!D112</f>
        <v>40.5</v>
      </c>
      <c r="E72" s="320">
        <f>'Office Minor'!E112</f>
        <v>383538</v>
      </c>
      <c r="F72" s="320">
        <f>'Office Minor'!F112</f>
        <v>191769410</v>
      </c>
      <c r="G72" s="320">
        <f>'Office Minor'!G112</f>
        <v>3394671</v>
      </c>
      <c r="H72" s="320">
        <f>'Office Minor'!H112</f>
        <v>35</v>
      </c>
      <c r="I72" s="523"/>
      <c r="J72" s="342">
        <f t="shared" si="17"/>
        <v>500.00106899446729</v>
      </c>
      <c r="K72" s="707" t="s">
        <v>50</v>
      </c>
      <c r="L72" s="707">
        <f>L71+L70</f>
        <v>5</v>
      </c>
      <c r="M72" s="707">
        <f t="shared" ref="M72:Q72" si="23">M71+M70</f>
        <v>9351.14</v>
      </c>
      <c r="N72" s="707">
        <f t="shared" si="23"/>
        <v>2256591</v>
      </c>
      <c r="O72" s="707">
        <f t="shared" si="23"/>
        <v>1241125314</v>
      </c>
      <c r="P72" s="707">
        <f t="shared" si="23"/>
        <v>140258580</v>
      </c>
      <c r="Q72" s="707">
        <f t="shared" si="23"/>
        <v>638</v>
      </c>
    </row>
    <row r="73" spans="1:17" s="334" customFormat="1" ht="17.100000000000001" customHeight="1" x14ac:dyDescent="0.25">
      <c r="A73" s="324">
        <v>11</v>
      </c>
      <c r="B73" s="317" t="s">
        <v>65</v>
      </c>
      <c r="C73" s="320">
        <f>'Office Minor'!C114</f>
        <v>0</v>
      </c>
      <c r="D73" s="320">
        <f>'Office Minor'!D114</f>
        <v>0</v>
      </c>
      <c r="E73" s="320">
        <f>'Office Minor'!E114</f>
        <v>0</v>
      </c>
      <c r="F73" s="320">
        <f>'Office Minor'!F114</f>
        <v>0</v>
      </c>
      <c r="G73" s="320">
        <f>'Office Minor'!G114</f>
        <v>0</v>
      </c>
      <c r="H73" s="320">
        <f>'Office Minor'!H114</f>
        <v>0</v>
      </c>
      <c r="I73" s="523"/>
      <c r="J73" s="342"/>
      <c r="K73" s="707"/>
      <c r="L73" s="707"/>
      <c r="M73" s="707"/>
      <c r="N73" s="707"/>
      <c r="O73" s="707"/>
      <c r="P73" s="707"/>
      <c r="Q73" s="707"/>
    </row>
    <row r="74" spans="1:17" s="334" customFormat="1" ht="17.100000000000001" customHeight="1" x14ac:dyDescent="0.25">
      <c r="A74" s="324">
        <v>12</v>
      </c>
      <c r="B74" s="317" t="s">
        <v>194</v>
      </c>
      <c r="C74" s="320">
        <f>'Office Minor'!C115</f>
        <v>3</v>
      </c>
      <c r="D74" s="320">
        <f>'Office Minor'!D115</f>
        <v>6</v>
      </c>
      <c r="E74" s="320">
        <f>'Office Minor'!E115</f>
        <v>237037</v>
      </c>
      <c r="F74" s="320">
        <f>'Office Minor'!F115</f>
        <v>47407492</v>
      </c>
      <c r="G74" s="320">
        <f>'Office Minor'!G115</f>
        <v>7615408</v>
      </c>
      <c r="H74" s="320">
        <f>'Office Minor'!H115</f>
        <v>8</v>
      </c>
      <c r="I74" s="523"/>
      <c r="J74" s="342"/>
      <c r="K74" s="707"/>
      <c r="L74" s="707"/>
      <c r="M74" s="707"/>
      <c r="N74" s="707"/>
      <c r="O74" s="707"/>
      <c r="P74" s="707"/>
      <c r="Q74" s="707"/>
    </row>
    <row r="75" spans="1:17" s="334" customFormat="1" ht="17.100000000000001" customHeight="1" x14ac:dyDescent="0.25">
      <c r="A75" s="324"/>
      <c r="B75" s="320" t="s">
        <v>75</v>
      </c>
      <c r="C75" s="320"/>
      <c r="D75" s="320"/>
      <c r="E75" s="320"/>
      <c r="F75" s="320"/>
      <c r="G75" s="686">
        <f>'Office Minor'!G116</f>
        <v>65653345</v>
      </c>
      <c r="H75" s="320"/>
      <c r="I75" s="523"/>
      <c r="J75" s="342"/>
    </row>
    <row r="76" spans="1:17" s="334" customFormat="1" ht="17.100000000000001" customHeight="1" x14ac:dyDescent="0.25">
      <c r="A76" s="324"/>
      <c r="B76" s="320" t="s">
        <v>49</v>
      </c>
      <c r="C76" s="320"/>
      <c r="D76" s="320"/>
      <c r="E76" s="320"/>
      <c r="F76" s="320"/>
      <c r="G76" s="686">
        <f>'Office Minor'!G117</f>
        <v>99083920</v>
      </c>
      <c r="H76" s="320"/>
      <c r="I76" s="523"/>
      <c r="J76" s="342"/>
    </row>
    <row r="77" spans="1:17" s="334" customFormat="1" ht="17.100000000000001" customHeight="1" x14ac:dyDescent="0.25">
      <c r="A77" s="1231" t="s">
        <v>50</v>
      </c>
      <c r="B77" s="1232"/>
      <c r="C77" s="497">
        <f t="shared" ref="C77:H77" si="24">SUM(C63:C76)</f>
        <v>531</v>
      </c>
      <c r="D77" s="497">
        <f t="shared" si="24"/>
        <v>10447.66</v>
      </c>
      <c r="E77" s="497">
        <f t="shared" si="24"/>
        <v>10299592</v>
      </c>
      <c r="F77" s="497">
        <f t="shared" si="24"/>
        <v>3885429586</v>
      </c>
      <c r="G77" s="497">
        <f t="shared" si="24"/>
        <v>1044688953</v>
      </c>
      <c r="H77" s="497">
        <f t="shared" si="24"/>
        <v>5272</v>
      </c>
      <c r="I77" s="524">
        <f>G77+Distt.Major!G39</f>
        <v>2182183979</v>
      </c>
      <c r="J77" s="342"/>
    </row>
    <row r="78" spans="1:17" s="334" customFormat="1" ht="17.100000000000001" customHeight="1" x14ac:dyDescent="0.25">
      <c r="A78" s="513"/>
      <c r="B78" s="513"/>
      <c r="C78" s="513"/>
      <c r="D78" s="513"/>
      <c r="E78" s="513"/>
      <c r="F78" s="513"/>
      <c r="G78" s="513"/>
      <c r="H78" s="513"/>
      <c r="I78" s="523"/>
      <c r="J78" s="342"/>
    </row>
    <row r="79" spans="1:17" s="334" customFormat="1" ht="17.100000000000001" customHeight="1" x14ac:dyDescent="0.25">
      <c r="A79" s="1264" t="s">
        <v>282</v>
      </c>
      <c r="B79" s="1264"/>
      <c r="C79" s="1264"/>
      <c r="D79" s="1264"/>
      <c r="E79" s="1264"/>
      <c r="F79" s="1264"/>
      <c r="G79" s="1264"/>
      <c r="H79" s="1264"/>
      <c r="I79" s="523"/>
      <c r="J79" s="342"/>
    </row>
    <row r="80" spans="1:17" s="334" customFormat="1" ht="17.100000000000001" customHeight="1" x14ac:dyDescent="0.25">
      <c r="A80" s="1225" t="s">
        <v>182</v>
      </c>
      <c r="B80" s="1225" t="s">
        <v>3</v>
      </c>
      <c r="C80" s="1225" t="s">
        <v>4</v>
      </c>
      <c r="D80" s="834" t="s">
        <v>5</v>
      </c>
      <c r="E80" s="68" t="s">
        <v>6</v>
      </c>
      <c r="F80" s="833" t="s">
        <v>7</v>
      </c>
      <c r="G80" s="833" t="s">
        <v>8</v>
      </c>
      <c r="H80" s="68" t="s">
        <v>9</v>
      </c>
      <c r="I80" s="523"/>
      <c r="J80" s="342"/>
    </row>
    <row r="81" spans="1:10" s="334" customFormat="1" ht="17.100000000000001" customHeight="1" x14ac:dyDescent="0.25">
      <c r="A81" s="1226"/>
      <c r="B81" s="1226"/>
      <c r="C81" s="1226"/>
      <c r="D81" s="835" t="s">
        <v>78</v>
      </c>
      <c r="E81" s="835" t="s">
        <v>79</v>
      </c>
      <c r="F81" s="836" t="s">
        <v>80</v>
      </c>
      <c r="G81" s="836" t="s">
        <v>80</v>
      </c>
      <c r="H81" s="69" t="s">
        <v>13</v>
      </c>
      <c r="I81" s="523"/>
      <c r="J81" s="342"/>
    </row>
    <row r="82" spans="1:10" s="334" customFormat="1" ht="17.100000000000001" customHeight="1" x14ac:dyDescent="0.25">
      <c r="A82" s="318">
        <v>1</v>
      </c>
      <c r="B82" s="321" t="s">
        <v>63</v>
      </c>
      <c r="C82" s="325">
        <f>'Office Minor'!C91</f>
        <v>41</v>
      </c>
      <c r="D82" s="325">
        <f>'Office Minor'!D91</f>
        <v>41.644300000000001</v>
      </c>
      <c r="E82" s="325">
        <f>'Office Minor'!E91</f>
        <v>342852</v>
      </c>
      <c r="F82" s="325">
        <f>'Office Minor'!F91</f>
        <v>71998920</v>
      </c>
      <c r="G82" s="325">
        <f>'Office Minor'!G91</f>
        <v>13714080</v>
      </c>
      <c r="H82" s="325">
        <f>'Office Minor'!H91</f>
        <v>150</v>
      </c>
      <c r="I82" s="523"/>
      <c r="J82" s="342">
        <f>F82/E82</f>
        <v>210</v>
      </c>
    </row>
    <row r="83" spans="1:10" s="334" customFormat="1" ht="17.100000000000001" customHeight="1" x14ac:dyDescent="0.25">
      <c r="A83" s="318">
        <v>2</v>
      </c>
      <c r="B83" s="321" t="s">
        <v>71</v>
      </c>
      <c r="C83" s="325">
        <f>'Office Minor'!C92</f>
        <v>2</v>
      </c>
      <c r="D83" s="325">
        <f>'Office Minor'!D92</f>
        <v>2</v>
      </c>
      <c r="E83" s="325">
        <f>'Office Minor'!E92</f>
        <v>0</v>
      </c>
      <c r="F83" s="325">
        <f>'Office Minor'!F92</f>
        <v>0</v>
      </c>
      <c r="G83" s="325">
        <f>'Office Minor'!G92</f>
        <v>0</v>
      </c>
      <c r="H83" s="325">
        <f>'Office Minor'!H92</f>
        <v>0</v>
      </c>
      <c r="I83" s="523"/>
      <c r="J83" s="342" t="e">
        <f t="shared" ref="J83:J86" si="25">F83/E83</f>
        <v>#DIV/0!</v>
      </c>
    </row>
    <row r="84" spans="1:10" s="334" customFormat="1" ht="17.100000000000001" customHeight="1" x14ac:dyDescent="0.25">
      <c r="A84" s="318">
        <v>3</v>
      </c>
      <c r="B84" s="321" t="s">
        <v>59</v>
      </c>
      <c r="C84" s="325">
        <f>'Office Minor'!C93</f>
        <v>3</v>
      </c>
      <c r="D84" s="325">
        <f>'Office Minor'!D93</f>
        <v>850.14</v>
      </c>
      <c r="E84" s="325">
        <f>'Office Minor'!E93</f>
        <v>88461.37</v>
      </c>
      <c r="F84" s="325">
        <f>'Office Minor'!F93</f>
        <v>48653753.5</v>
      </c>
      <c r="G84" s="325">
        <f>'Office Minor'!G93</f>
        <v>15923046.6</v>
      </c>
      <c r="H84" s="325">
        <f>'Office Minor'!H93</f>
        <v>50</v>
      </c>
      <c r="I84" s="523"/>
      <c r="J84" s="342">
        <f t="shared" si="25"/>
        <v>550</v>
      </c>
    </row>
    <row r="85" spans="1:10" s="334" customFormat="1" ht="17.100000000000001" customHeight="1" x14ac:dyDescent="0.25">
      <c r="A85" s="318">
        <v>4</v>
      </c>
      <c r="B85" s="321" t="s">
        <v>65</v>
      </c>
      <c r="C85" s="325">
        <f>'Office Minor'!C94</f>
        <v>0</v>
      </c>
      <c r="D85" s="325">
        <f>'Office Minor'!D94</f>
        <v>0</v>
      </c>
      <c r="E85" s="325">
        <f>'Office Minor'!E94</f>
        <v>385979.18599999999</v>
      </c>
      <c r="F85" s="325">
        <f>'Office Minor'!F94</f>
        <v>13509271.461999999</v>
      </c>
      <c r="G85" s="325">
        <f>'Office Minor'!G94</f>
        <v>2418683</v>
      </c>
      <c r="H85" s="325">
        <f>'Office Minor'!H94</f>
        <v>50</v>
      </c>
      <c r="I85" s="523"/>
      <c r="J85" s="342">
        <f t="shared" si="25"/>
        <v>34.99999987564096</v>
      </c>
    </row>
    <row r="86" spans="1:10" s="334" customFormat="1" ht="17.100000000000001" customHeight="1" x14ac:dyDescent="0.25">
      <c r="A86" s="318">
        <v>5</v>
      </c>
      <c r="B86" s="321" t="s">
        <v>44</v>
      </c>
      <c r="C86" s="325">
        <f>'Office Minor'!C95</f>
        <v>2</v>
      </c>
      <c r="D86" s="325">
        <f>'Office Minor'!D95</f>
        <v>2</v>
      </c>
      <c r="E86" s="325">
        <f>'Office Minor'!E95</f>
        <v>0</v>
      </c>
      <c r="F86" s="325">
        <f>'Office Minor'!F95</f>
        <v>0</v>
      </c>
      <c r="G86" s="325">
        <f>'Office Minor'!G95</f>
        <v>0</v>
      </c>
      <c r="H86" s="325">
        <f>'Office Minor'!H95</f>
        <v>0</v>
      </c>
      <c r="I86" s="523"/>
      <c r="J86" s="342" t="e">
        <f t="shared" si="25"/>
        <v>#DIV/0!</v>
      </c>
    </row>
    <row r="87" spans="1:10" s="334" customFormat="1" ht="17.100000000000001" customHeight="1" x14ac:dyDescent="0.25">
      <c r="A87" s="318"/>
      <c r="B87" s="321" t="s">
        <v>75</v>
      </c>
      <c r="C87" s="325"/>
      <c r="D87" s="325"/>
      <c r="E87" s="325"/>
      <c r="F87" s="325"/>
      <c r="G87" s="325">
        <f>'Office Minor'!G96</f>
        <v>71025686</v>
      </c>
      <c r="H87" s="325"/>
      <c r="I87" s="523"/>
      <c r="J87" s="342"/>
    </row>
    <row r="88" spans="1:10" s="334" customFormat="1" ht="17.100000000000001" customHeight="1" x14ac:dyDescent="0.25">
      <c r="A88" s="318"/>
      <c r="B88" s="321" t="s">
        <v>49</v>
      </c>
      <c r="C88" s="325"/>
      <c r="D88" s="325"/>
      <c r="E88" s="325"/>
      <c r="F88" s="325"/>
      <c r="G88" s="325">
        <f>'Office Minor'!G97</f>
        <v>25869321</v>
      </c>
      <c r="H88" s="325"/>
      <c r="I88" s="523"/>
      <c r="J88" s="342"/>
    </row>
    <row r="89" spans="1:10" s="334" customFormat="1" ht="17.100000000000001" customHeight="1" x14ac:dyDescent="0.25">
      <c r="A89" s="1237" t="s">
        <v>50</v>
      </c>
      <c r="B89" s="1238"/>
      <c r="C89" s="514">
        <f t="shared" ref="C89:H89" si="26">SUM(C82:C88)</f>
        <v>48</v>
      </c>
      <c r="D89" s="515">
        <f t="shared" si="26"/>
        <v>895.78430000000003</v>
      </c>
      <c r="E89" s="514">
        <f t="shared" si="26"/>
        <v>817292.55599999998</v>
      </c>
      <c r="F89" s="871">
        <f t="shared" si="26"/>
        <v>134161944.962</v>
      </c>
      <c r="G89" s="505">
        <f t="shared" si="26"/>
        <v>128950816.59999999</v>
      </c>
      <c r="H89" s="872">
        <f t="shared" si="26"/>
        <v>250</v>
      </c>
      <c r="I89" s="526">
        <f>G89</f>
        <v>128950816.59999999</v>
      </c>
      <c r="J89" s="342"/>
    </row>
    <row r="90" spans="1:10" s="334" customFormat="1" ht="17.100000000000001" customHeight="1" x14ac:dyDescent="0.25">
      <c r="A90" s="513"/>
      <c r="B90" s="513"/>
      <c r="C90" s="513"/>
      <c r="D90" s="513"/>
      <c r="E90" s="513"/>
      <c r="F90" s="513"/>
      <c r="G90" s="513"/>
      <c r="H90" s="513"/>
      <c r="I90" s="523"/>
      <c r="J90" s="342"/>
    </row>
    <row r="91" spans="1:10" s="334" customFormat="1" ht="17.100000000000001" customHeight="1" x14ac:dyDescent="0.25">
      <c r="A91" s="1264" t="s">
        <v>244</v>
      </c>
      <c r="B91" s="1264"/>
      <c r="C91" s="1264"/>
      <c r="D91" s="1264"/>
      <c r="E91" s="1264"/>
      <c r="F91" s="1264"/>
      <c r="G91" s="1264"/>
      <c r="H91" s="1264"/>
      <c r="I91" s="523"/>
      <c r="J91" s="342"/>
    </row>
    <row r="92" spans="1:10" s="334" customFormat="1" ht="17.100000000000001" customHeight="1" x14ac:dyDescent="0.25">
      <c r="A92" s="1225" t="s">
        <v>182</v>
      </c>
      <c r="B92" s="1225" t="s">
        <v>3</v>
      </c>
      <c r="C92" s="1225" t="s">
        <v>4</v>
      </c>
      <c r="D92" s="834" t="s">
        <v>5</v>
      </c>
      <c r="E92" s="68" t="s">
        <v>6</v>
      </c>
      <c r="F92" s="833" t="s">
        <v>7</v>
      </c>
      <c r="G92" s="833" t="s">
        <v>8</v>
      </c>
      <c r="H92" s="68" t="s">
        <v>9</v>
      </c>
      <c r="I92" s="523"/>
      <c r="J92" s="342"/>
    </row>
    <row r="93" spans="1:10" s="334" customFormat="1" ht="17.100000000000001" customHeight="1" x14ac:dyDescent="0.25">
      <c r="A93" s="1245"/>
      <c r="B93" s="1230"/>
      <c r="C93" s="1230"/>
      <c r="D93" s="864" t="s">
        <v>78</v>
      </c>
      <c r="E93" s="75" t="s">
        <v>79</v>
      </c>
      <c r="F93" s="865" t="s">
        <v>80</v>
      </c>
      <c r="G93" s="865" t="s">
        <v>80</v>
      </c>
      <c r="H93" s="75" t="s">
        <v>13</v>
      </c>
      <c r="I93" s="523"/>
      <c r="J93" s="342"/>
    </row>
    <row r="94" spans="1:10" s="334" customFormat="1" ht="17.100000000000001" customHeight="1" x14ac:dyDescent="0.25">
      <c r="A94" s="318">
        <v>1</v>
      </c>
      <c r="B94" s="873" t="s">
        <v>63</v>
      </c>
      <c r="C94" s="874">
        <f>'Office Minor'!C641+'Office Minor'!C157</f>
        <v>586</v>
      </c>
      <c r="D94" s="874">
        <f>'Office Minor'!D641+'Office Minor'!D157</f>
        <v>597.07999999999993</v>
      </c>
      <c r="E94" s="874">
        <f>'Office Minor'!E641+'Office Minor'!E157</f>
        <v>19944343</v>
      </c>
      <c r="F94" s="874">
        <f>'Office Minor'!F641+'Office Minor'!F157</f>
        <v>3705516668</v>
      </c>
      <c r="G94" s="874">
        <f>'Office Minor'!G641+'Office Minor'!G157</f>
        <v>1098086696</v>
      </c>
      <c r="H94" s="874">
        <f>'Office Minor'!H641+'Office Minor'!H157</f>
        <v>3000</v>
      </c>
      <c r="I94" s="523"/>
      <c r="J94" s="342">
        <f>F94/E94</f>
        <v>185.792867080154</v>
      </c>
    </row>
    <row r="95" spans="1:10" s="334" customFormat="1" ht="17.100000000000001" customHeight="1" x14ac:dyDescent="0.25">
      <c r="A95" s="318">
        <v>2</v>
      </c>
      <c r="B95" s="875" t="s">
        <v>71</v>
      </c>
      <c r="C95" s="874">
        <f>'Office Minor'!C642</f>
        <v>74</v>
      </c>
      <c r="D95" s="874">
        <f>'Office Minor'!D642</f>
        <v>550.87</v>
      </c>
      <c r="E95" s="874">
        <f>'Office Minor'!E642</f>
        <v>335881</v>
      </c>
      <c r="F95" s="874">
        <f>'Office Minor'!F642</f>
        <v>251910750</v>
      </c>
      <c r="G95" s="874">
        <f>'Office Minor'!G642</f>
        <v>26870480</v>
      </c>
      <c r="H95" s="874">
        <f>'Office Minor'!H642</f>
        <v>350</v>
      </c>
      <c r="I95" s="523"/>
      <c r="J95" s="342">
        <f t="shared" ref="J95:J102" si="27">F95/E95</f>
        <v>750</v>
      </c>
    </row>
    <row r="96" spans="1:10" s="334" customFormat="1" ht="17.100000000000001" customHeight="1" x14ac:dyDescent="0.25">
      <c r="A96" s="318">
        <v>3</v>
      </c>
      <c r="B96" s="876" t="s">
        <v>55</v>
      </c>
      <c r="C96" s="874">
        <f>'Office Minor'!C643</f>
        <v>1</v>
      </c>
      <c r="D96" s="874">
        <f>'Office Minor'!D643</f>
        <v>0.71</v>
      </c>
      <c r="E96" s="874">
        <f>'Office Minor'!E643</f>
        <v>196</v>
      </c>
      <c r="F96" s="874">
        <f>'Office Minor'!F643</f>
        <v>24154</v>
      </c>
      <c r="G96" s="874">
        <f>'Office Minor'!G643</f>
        <v>21566</v>
      </c>
      <c r="H96" s="874">
        <f>'Office Minor'!H643</f>
        <v>5</v>
      </c>
      <c r="I96" s="523"/>
      <c r="J96" s="342">
        <f t="shared" si="27"/>
        <v>123.23469387755102</v>
      </c>
    </row>
    <row r="97" spans="1:10" s="334" customFormat="1" ht="17.100000000000001" customHeight="1" x14ac:dyDescent="0.25">
      <c r="A97" s="318">
        <v>4</v>
      </c>
      <c r="B97" s="876" t="s">
        <v>64</v>
      </c>
      <c r="C97" s="874">
        <f>'Office Minor'!C644</f>
        <v>2</v>
      </c>
      <c r="D97" s="874">
        <f>'Office Minor'!D644</f>
        <v>965.94</v>
      </c>
      <c r="E97" s="874">
        <f>'Office Minor'!E644</f>
        <v>0</v>
      </c>
      <c r="F97" s="874">
        <f>'Office Minor'!F644</f>
        <v>0</v>
      </c>
      <c r="G97" s="874">
        <f>'Office Minor'!G644</f>
        <v>0</v>
      </c>
      <c r="H97" s="874">
        <f>'Office Minor'!H644</f>
        <v>0</v>
      </c>
      <c r="I97" s="523"/>
      <c r="J97" s="342" t="e">
        <f t="shared" si="27"/>
        <v>#DIV/0!</v>
      </c>
    </row>
    <row r="98" spans="1:10" s="334" customFormat="1" ht="17.100000000000001" customHeight="1" x14ac:dyDescent="0.25">
      <c r="A98" s="318">
        <v>5</v>
      </c>
      <c r="B98" s="876" t="s">
        <v>65</v>
      </c>
      <c r="C98" s="874">
        <f>'Office Minor'!C160</f>
        <v>3</v>
      </c>
      <c r="D98" s="874">
        <f>'Office Minor'!D160</f>
        <v>2</v>
      </c>
      <c r="E98" s="874">
        <f>'Office Minor'!E160</f>
        <v>274000</v>
      </c>
      <c r="F98" s="874">
        <f>'Office Minor'!F160</f>
        <v>9590000</v>
      </c>
      <c r="G98" s="874">
        <f>'Office Minor'!G160</f>
        <v>2379640</v>
      </c>
      <c r="H98" s="874">
        <f>'Office Minor'!H160</f>
        <v>10</v>
      </c>
      <c r="I98" s="523"/>
      <c r="J98" s="342"/>
    </row>
    <row r="99" spans="1:10" s="334" customFormat="1" ht="17.100000000000001" customHeight="1" x14ac:dyDescent="0.25">
      <c r="A99" s="318">
        <v>6</v>
      </c>
      <c r="B99" s="876" t="s">
        <v>390</v>
      </c>
      <c r="C99" s="874">
        <f>'Office Minor'!C645+'Office Minor'!C159</f>
        <v>14</v>
      </c>
      <c r="D99" s="874">
        <f>'Office Minor'!D645+'Office Minor'!D159</f>
        <v>381.75399999999996</v>
      </c>
      <c r="E99" s="874">
        <f>'Office Minor'!E645+'Office Minor'!E159</f>
        <v>477903.65</v>
      </c>
      <c r="F99" s="874">
        <f>'Office Minor'!F645+'Office Minor'!F159</f>
        <v>258067971</v>
      </c>
      <c r="G99" s="874">
        <f>'Office Minor'!G645+'Office Minor'!G159</f>
        <v>42076007</v>
      </c>
      <c r="H99" s="874">
        <f>'Office Minor'!H645+'Office Minor'!H159</f>
        <v>260</v>
      </c>
      <c r="I99" s="523"/>
      <c r="J99" s="342">
        <f t="shared" si="27"/>
        <v>540</v>
      </c>
    </row>
    <row r="100" spans="1:10" s="334" customFormat="1" ht="17.100000000000001" customHeight="1" x14ac:dyDescent="0.25">
      <c r="A100" s="318">
        <v>7</v>
      </c>
      <c r="B100" s="873" t="s">
        <v>54</v>
      </c>
      <c r="C100" s="874">
        <f>'Office Minor'!C158+'Office Minor'!C647</f>
        <v>0</v>
      </c>
      <c r="D100" s="874">
        <f>'Office Minor'!D158+'Office Minor'!D647</f>
        <v>245.6</v>
      </c>
      <c r="E100" s="874">
        <f>'Office Minor'!E158+'Office Minor'!E647</f>
        <v>991200</v>
      </c>
      <c r="F100" s="874">
        <f>'Office Minor'!F158+'Office Minor'!F647</f>
        <v>218064000</v>
      </c>
      <c r="G100" s="874">
        <f>'Office Minor'!G158+'Office Minor'!G647</f>
        <v>29149172</v>
      </c>
      <c r="H100" s="874">
        <f>'Office Minor'!H158+'Office Minor'!H647</f>
        <v>4400</v>
      </c>
      <c r="I100" s="523"/>
      <c r="J100" s="342">
        <f t="shared" si="27"/>
        <v>220</v>
      </c>
    </row>
    <row r="101" spans="1:10" s="334" customFormat="1" ht="17.100000000000001" customHeight="1" x14ac:dyDescent="0.25">
      <c r="A101" s="318">
        <v>8</v>
      </c>
      <c r="B101" s="876" t="s">
        <v>404</v>
      </c>
      <c r="C101" s="874">
        <f>'Office Minor'!C646</f>
        <v>4</v>
      </c>
      <c r="D101" s="874">
        <f>'Office Minor'!D646</f>
        <v>19.170000000000002</v>
      </c>
      <c r="E101" s="874">
        <f>'Office Minor'!E646</f>
        <v>0</v>
      </c>
      <c r="F101" s="874">
        <f>'Office Minor'!F646</f>
        <v>0</v>
      </c>
      <c r="G101" s="874">
        <f>'Office Minor'!G646</f>
        <v>0</v>
      </c>
      <c r="H101" s="874">
        <f>'Office Minor'!H646</f>
        <v>0</v>
      </c>
      <c r="I101" s="523"/>
      <c r="J101" s="342" t="e">
        <f t="shared" si="27"/>
        <v>#DIV/0!</v>
      </c>
    </row>
    <row r="102" spans="1:10" s="334" customFormat="1" ht="17.100000000000001" customHeight="1" x14ac:dyDescent="0.25">
      <c r="A102" s="318">
        <v>9</v>
      </c>
      <c r="B102" s="876" t="s">
        <v>28</v>
      </c>
      <c r="C102" s="874">
        <f>'Office Minor'!C648</f>
        <v>1</v>
      </c>
      <c r="D102" s="874">
        <f>'Office Minor'!D648</f>
        <v>5</v>
      </c>
      <c r="E102" s="874">
        <f>'Office Minor'!E648</f>
        <v>0</v>
      </c>
      <c r="F102" s="874">
        <f>'Office Minor'!F648</f>
        <v>0</v>
      </c>
      <c r="G102" s="874">
        <f>'Office Minor'!G648</f>
        <v>0</v>
      </c>
      <c r="H102" s="874">
        <f>'Office Minor'!H648</f>
        <v>0</v>
      </c>
      <c r="I102" s="523"/>
      <c r="J102" s="342" t="e">
        <f t="shared" si="27"/>
        <v>#DIV/0!</v>
      </c>
    </row>
    <row r="103" spans="1:10" s="334" customFormat="1" ht="17.100000000000001" customHeight="1" x14ac:dyDescent="0.25">
      <c r="A103" s="318"/>
      <c r="B103" s="876" t="s">
        <v>75</v>
      </c>
      <c r="C103" s="874"/>
      <c r="D103" s="874"/>
      <c r="E103" s="874"/>
      <c r="F103" s="874"/>
      <c r="G103" s="874">
        <f>'Office Minor'!G649+'Office Minor'!G161</f>
        <v>30752751</v>
      </c>
      <c r="H103" s="874"/>
      <c r="I103" s="523"/>
      <c r="J103" s="342"/>
    </row>
    <row r="104" spans="1:10" s="334" customFormat="1" ht="17.100000000000001" customHeight="1" x14ac:dyDescent="0.25">
      <c r="A104" s="318"/>
      <c r="B104" s="877" t="s">
        <v>49</v>
      </c>
      <c r="C104" s="874"/>
      <c r="D104" s="874"/>
      <c r="E104" s="874"/>
      <c r="F104" s="874"/>
      <c r="G104" s="874">
        <f>'Office Minor'!G650+'Office Minor'!G162</f>
        <v>115837965</v>
      </c>
      <c r="H104" s="874"/>
      <c r="I104" s="523"/>
      <c r="J104" s="342"/>
    </row>
    <row r="105" spans="1:10" s="334" customFormat="1" ht="17.100000000000001" customHeight="1" x14ac:dyDescent="0.25">
      <c r="A105" s="1237" t="s">
        <v>50</v>
      </c>
      <c r="B105" s="1238"/>
      <c r="C105" s="497">
        <f t="shared" ref="C105:H105" si="28">SUM(C94:C104)</f>
        <v>685</v>
      </c>
      <c r="D105" s="498">
        <f t="shared" si="28"/>
        <v>2768.1239999999998</v>
      </c>
      <c r="E105" s="497">
        <f t="shared" si="28"/>
        <v>22023523.649999999</v>
      </c>
      <c r="F105" s="499">
        <f t="shared" si="28"/>
        <v>4443173543</v>
      </c>
      <c r="G105" s="499">
        <f t="shared" si="28"/>
        <v>1345174277</v>
      </c>
      <c r="H105" s="878">
        <f t="shared" si="28"/>
        <v>8025</v>
      </c>
      <c r="I105" s="524">
        <f>G105</f>
        <v>1345174277</v>
      </c>
      <c r="J105" s="342"/>
    </row>
    <row r="106" spans="1:10" s="334" customFormat="1" ht="17.100000000000001" customHeight="1" x14ac:dyDescent="0.25">
      <c r="A106" s="513"/>
      <c r="B106" s="513"/>
      <c r="C106" s="513"/>
      <c r="D106" s="513"/>
      <c r="E106" s="513"/>
      <c r="F106" s="513"/>
      <c r="G106" s="513"/>
      <c r="H106" s="513"/>
      <c r="I106" s="523"/>
      <c r="J106" s="342"/>
    </row>
    <row r="107" spans="1:10" s="334" customFormat="1" ht="17.100000000000001" customHeight="1" x14ac:dyDescent="0.25">
      <c r="A107" s="1264" t="s">
        <v>245</v>
      </c>
      <c r="B107" s="1264"/>
      <c r="C107" s="1264"/>
      <c r="D107" s="1264"/>
      <c r="E107" s="1264"/>
      <c r="F107" s="1264"/>
      <c r="G107" s="1264"/>
      <c r="H107" s="1264"/>
      <c r="I107" s="523"/>
      <c r="J107" s="342"/>
    </row>
    <row r="108" spans="1:10" s="334" customFormat="1" ht="17.100000000000001" customHeight="1" x14ac:dyDescent="0.25">
      <c r="A108" s="1225" t="s">
        <v>182</v>
      </c>
      <c r="B108" s="1225" t="s">
        <v>3</v>
      </c>
      <c r="C108" s="1225" t="s">
        <v>4</v>
      </c>
      <c r="D108" s="834" t="s">
        <v>5</v>
      </c>
      <c r="E108" s="68" t="s">
        <v>6</v>
      </c>
      <c r="F108" s="833" t="s">
        <v>7</v>
      </c>
      <c r="G108" s="833" t="s">
        <v>8</v>
      </c>
      <c r="H108" s="68" t="s">
        <v>9</v>
      </c>
      <c r="I108" s="523"/>
      <c r="J108" s="342"/>
    </row>
    <row r="109" spans="1:10" s="334" customFormat="1" ht="17.100000000000001" customHeight="1" x14ac:dyDescent="0.25">
      <c r="A109" s="1230"/>
      <c r="B109" s="1230"/>
      <c r="C109" s="1230"/>
      <c r="D109" s="864" t="s">
        <v>78</v>
      </c>
      <c r="E109" s="75" t="s">
        <v>79</v>
      </c>
      <c r="F109" s="865" t="s">
        <v>80</v>
      </c>
      <c r="G109" s="865" t="s">
        <v>80</v>
      </c>
      <c r="H109" s="75" t="s">
        <v>13</v>
      </c>
      <c r="I109" s="523"/>
      <c r="J109" s="342"/>
    </row>
    <row r="110" spans="1:10" s="334" customFormat="1" ht="17.100000000000001" customHeight="1" x14ac:dyDescent="0.25">
      <c r="A110" s="316">
        <v>1</v>
      </c>
      <c r="B110" s="320" t="s">
        <v>63</v>
      </c>
      <c r="C110" s="320">
        <f>'Office Minor'!C168+'Office Minor'!C143</f>
        <v>161</v>
      </c>
      <c r="D110" s="320">
        <f>'Office Minor'!D168+'Office Minor'!D143</f>
        <v>163.59</v>
      </c>
      <c r="E110" s="320">
        <f>'Office Minor'!E168+'Office Minor'!E143</f>
        <v>2062652</v>
      </c>
      <c r="F110" s="320">
        <f>'Office Minor'!F168+'Office Minor'!F143</f>
        <v>412783750</v>
      </c>
      <c r="G110" s="320">
        <f>'Office Minor'!G168+'Office Minor'!G143</f>
        <v>120386271</v>
      </c>
      <c r="H110" s="320">
        <f>'Office Minor'!H168+'Office Minor'!H143</f>
        <v>3365</v>
      </c>
      <c r="I110" s="523"/>
      <c r="J110" s="342">
        <f>F110/E110</f>
        <v>200.12282731163569</v>
      </c>
    </row>
    <row r="111" spans="1:10" s="334" customFormat="1" ht="17.100000000000001" customHeight="1" x14ac:dyDescent="0.25">
      <c r="A111" s="316">
        <v>2</v>
      </c>
      <c r="B111" s="320" t="s">
        <v>58</v>
      </c>
      <c r="C111" s="320">
        <f>'Office Minor'!C169</f>
        <v>403</v>
      </c>
      <c r="D111" s="320">
        <f>'Office Minor'!D169</f>
        <v>942.59</v>
      </c>
      <c r="E111" s="320">
        <f>'Office Minor'!E169</f>
        <v>2028350</v>
      </c>
      <c r="F111" s="320">
        <f>'Office Minor'!F169</f>
        <v>4259535000</v>
      </c>
      <c r="G111" s="320">
        <f>'Office Minor'!G169</f>
        <v>450401261</v>
      </c>
      <c r="H111" s="320">
        <f>'Office Minor'!H169</f>
        <v>985</v>
      </c>
      <c r="I111" s="523"/>
      <c r="J111" s="342">
        <f t="shared" ref="J111:J127" si="29">F111/E111</f>
        <v>2100</v>
      </c>
    </row>
    <row r="112" spans="1:10" s="334" customFormat="1" ht="17.100000000000001" customHeight="1" x14ac:dyDescent="0.25">
      <c r="A112" s="316">
        <v>3</v>
      </c>
      <c r="B112" s="320" t="s">
        <v>60</v>
      </c>
      <c r="C112" s="320">
        <f>'Office Minor'!C170</f>
        <v>5</v>
      </c>
      <c r="D112" s="320">
        <f>'Office Minor'!D170</f>
        <v>4.0599999999999996</v>
      </c>
      <c r="E112" s="320">
        <f>'Office Minor'!E170</f>
        <v>89052</v>
      </c>
      <c r="F112" s="320">
        <f>'Office Minor'!F170</f>
        <v>31168200</v>
      </c>
      <c r="G112" s="320">
        <f>'Office Minor'!G170</f>
        <v>12647284</v>
      </c>
      <c r="H112" s="320">
        <f>'Office Minor'!H170</f>
        <v>20</v>
      </c>
      <c r="I112" s="523"/>
      <c r="J112" s="342">
        <f t="shared" si="29"/>
        <v>350</v>
      </c>
    </row>
    <row r="113" spans="1:10" s="334" customFormat="1" ht="17.100000000000001" customHeight="1" x14ac:dyDescent="0.25">
      <c r="A113" s="316">
        <v>4</v>
      </c>
      <c r="B113" s="320" t="s">
        <v>192</v>
      </c>
      <c r="C113" s="320">
        <f>'Office Minor'!C171</f>
        <v>7</v>
      </c>
      <c r="D113" s="320">
        <f>'Office Minor'!D171</f>
        <v>10.62</v>
      </c>
      <c r="E113" s="320">
        <f>'Office Minor'!E171</f>
        <v>105</v>
      </c>
      <c r="F113" s="320">
        <f>'Office Minor'!F171</f>
        <v>73500</v>
      </c>
      <c r="G113" s="320">
        <f>'Office Minor'!G171</f>
        <v>831743</v>
      </c>
      <c r="H113" s="320">
        <f>'Office Minor'!H171</f>
        <v>32</v>
      </c>
      <c r="I113" s="523"/>
      <c r="J113" s="342">
        <f t="shared" si="29"/>
        <v>700</v>
      </c>
    </row>
    <row r="114" spans="1:10" s="334" customFormat="1" ht="17.100000000000001" customHeight="1" x14ac:dyDescent="0.25">
      <c r="A114" s="316">
        <v>5</v>
      </c>
      <c r="B114" s="320" t="str">
        <f>'Office Minor'!B172</f>
        <v>Pyrophylite</v>
      </c>
      <c r="C114" s="320">
        <f>'Office Minor'!C172</f>
        <v>9</v>
      </c>
      <c r="D114" s="320">
        <f>'Office Minor'!D172</f>
        <v>204.62</v>
      </c>
      <c r="E114" s="320">
        <f>'Office Minor'!E172</f>
        <v>129843.15702479339</v>
      </c>
      <c r="F114" s="320">
        <f>'Office Minor'!F172</f>
        <v>214241209.09090909</v>
      </c>
      <c r="G114" s="320">
        <f>'Office Minor'!G172</f>
        <v>31422044</v>
      </c>
      <c r="H114" s="320">
        <f>'Office Minor'!H172</f>
        <v>0</v>
      </c>
      <c r="I114" s="523"/>
      <c r="J114" s="342"/>
    </row>
    <row r="115" spans="1:10" s="334" customFormat="1" ht="17.100000000000001" customHeight="1" x14ac:dyDescent="0.25">
      <c r="A115" s="316">
        <v>6</v>
      </c>
      <c r="B115" s="320" t="s">
        <v>193</v>
      </c>
      <c r="C115" s="320">
        <f>'Office Minor'!C173</f>
        <v>1</v>
      </c>
      <c r="D115" s="320">
        <f>'Office Minor'!D173</f>
        <v>1</v>
      </c>
      <c r="E115" s="320">
        <f>'Office Minor'!E173</f>
        <v>0</v>
      </c>
      <c r="F115" s="320">
        <f>'Office Minor'!F173</f>
        <v>0</v>
      </c>
      <c r="G115" s="320">
        <f>'Office Minor'!G173</f>
        <v>0</v>
      </c>
      <c r="H115" s="320">
        <f>'Office Minor'!H173</f>
        <v>0</v>
      </c>
      <c r="I115" s="523"/>
      <c r="J115" s="342" t="e">
        <f t="shared" si="29"/>
        <v>#DIV/0!</v>
      </c>
    </row>
    <row r="116" spans="1:10" s="334" customFormat="1" ht="17.100000000000001" customHeight="1" x14ac:dyDescent="0.25">
      <c r="A116" s="316">
        <v>7</v>
      </c>
      <c r="B116" s="320" t="s">
        <v>54</v>
      </c>
      <c r="C116" s="320">
        <f>'Office Minor'!C174</f>
        <v>0</v>
      </c>
      <c r="D116" s="320">
        <f>'Office Minor'!D174</f>
        <v>150</v>
      </c>
      <c r="E116" s="320">
        <f>'Office Minor'!E174</f>
        <v>336640</v>
      </c>
      <c r="F116" s="320">
        <f>'Office Minor'!F174</f>
        <v>74060800</v>
      </c>
      <c r="G116" s="320">
        <f>'Office Minor'!G174</f>
        <v>673280</v>
      </c>
      <c r="H116" s="320">
        <f>'Office Minor'!H174</f>
        <v>1650</v>
      </c>
      <c r="I116" s="523"/>
      <c r="J116" s="342">
        <f t="shared" si="29"/>
        <v>220</v>
      </c>
    </row>
    <row r="117" spans="1:10" s="334" customFormat="1" ht="17.100000000000001" customHeight="1" x14ac:dyDescent="0.25">
      <c r="A117" s="316">
        <v>8</v>
      </c>
      <c r="B117" s="320" t="s">
        <v>59</v>
      </c>
      <c r="C117" s="320">
        <f>'Office Minor'!C175+'Office Minor'!C144</f>
        <v>5</v>
      </c>
      <c r="D117" s="320">
        <f>'Office Minor'!D175+'Office Minor'!D144</f>
        <v>4631.8500000000004</v>
      </c>
      <c r="E117" s="320">
        <f>'Office Minor'!E175+'Office Minor'!E144</f>
        <v>4290844</v>
      </c>
      <c r="F117" s="320">
        <f>'Office Minor'!F175+'Office Minor'!F144</f>
        <v>1549962675</v>
      </c>
      <c r="G117" s="320">
        <f>'Office Minor'!G175+'Office Minor'!G144</f>
        <v>240781120</v>
      </c>
      <c r="H117" s="320">
        <f>'Office Minor'!H175+'Office Minor'!H144</f>
        <v>350</v>
      </c>
      <c r="I117" s="523"/>
      <c r="J117" s="342">
        <f t="shared" si="29"/>
        <v>361.2255945450359</v>
      </c>
    </row>
    <row r="118" spans="1:10" s="334" customFormat="1" ht="17.100000000000001" customHeight="1" x14ac:dyDescent="0.25">
      <c r="A118" s="316">
        <v>9</v>
      </c>
      <c r="B118" s="320" t="s">
        <v>62</v>
      </c>
      <c r="C118" s="320">
        <f>'Office Minor'!C176</f>
        <v>26</v>
      </c>
      <c r="D118" s="320" t="str">
        <f>'Office Minor'!D176</f>
        <v>40..8</v>
      </c>
      <c r="E118" s="320">
        <f>'Office Minor'!E176</f>
        <v>79614</v>
      </c>
      <c r="F118" s="320">
        <f>'Office Minor'!F176</f>
        <v>147285900</v>
      </c>
      <c r="G118" s="320">
        <f>'Office Minor'!G176</f>
        <v>14484890</v>
      </c>
      <c r="H118" s="320">
        <f>'Office Minor'!H176</f>
        <v>95</v>
      </c>
      <c r="I118" s="523"/>
      <c r="J118" s="342">
        <f t="shared" si="29"/>
        <v>1850</v>
      </c>
    </row>
    <row r="119" spans="1:10" s="334" customFormat="1" ht="17.100000000000001" customHeight="1" x14ac:dyDescent="0.25">
      <c r="A119" s="316">
        <v>10</v>
      </c>
      <c r="B119" s="317" t="s">
        <v>159</v>
      </c>
      <c r="C119" s="320">
        <f>'Office Minor'!C177</f>
        <v>1</v>
      </c>
      <c r="D119" s="320">
        <f>'Office Minor'!D177</f>
        <v>5</v>
      </c>
      <c r="E119" s="320">
        <f>'Office Minor'!E177</f>
        <v>0</v>
      </c>
      <c r="F119" s="320">
        <f>'Office Minor'!F177</f>
        <v>0</v>
      </c>
      <c r="G119" s="320">
        <f>'Office Minor'!G177</f>
        <v>0</v>
      </c>
      <c r="H119" s="320">
        <f>'Office Minor'!H177</f>
        <v>0</v>
      </c>
      <c r="I119" s="523"/>
      <c r="J119" s="342" t="e">
        <f t="shared" si="29"/>
        <v>#DIV/0!</v>
      </c>
    </row>
    <row r="120" spans="1:10" s="334" customFormat="1" ht="17.100000000000001" customHeight="1" x14ac:dyDescent="0.25">
      <c r="A120" s="316">
        <v>11</v>
      </c>
      <c r="B120" s="317" t="s">
        <v>46</v>
      </c>
      <c r="C120" s="320">
        <f>'Office Minor'!C178+'Office Minor'!C146</f>
        <v>40</v>
      </c>
      <c r="D120" s="320">
        <f>'Office Minor'!D178+'Office Minor'!D146</f>
        <v>2748.88</v>
      </c>
      <c r="E120" s="320">
        <f>'Office Minor'!E178+'Office Minor'!E146</f>
        <v>657934</v>
      </c>
      <c r="F120" s="320">
        <f>'Office Minor'!F178+'Office Minor'!F146</f>
        <v>882966750</v>
      </c>
      <c r="G120" s="320">
        <f>'Office Minor'!G178+'Office Minor'!G146</f>
        <v>45213485</v>
      </c>
      <c r="H120" s="320">
        <f>'Office Minor'!H178+'Office Minor'!H146</f>
        <v>730</v>
      </c>
      <c r="I120" s="523"/>
      <c r="J120" s="342">
        <f t="shared" si="29"/>
        <v>1342.0293676873364</v>
      </c>
    </row>
    <row r="121" spans="1:10" s="334" customFormat="1" ht="17.100000000000001" customHeight="1" x14ac:dyDescent="0.25">
      <c r="A121" s="316">
        <v>12</v>
      </c>
      <c r="B121" s="317" t="s">
        <v>25</v>
      </c>
      <c r="C121" s="320">
        <f>'Office Minor'!C179</f>
        <v>8</v>
      </c>
      <c r="D121" s="320">
        <f>'Office Minor'!D179</f>
        <v>85.91</v>
      </c>
      <c r="E121" s="320">
        <f>'Office Minor'!E179</f>
        <v>10011.739622641509</v>
      </c>
      <c r="F121" s="320">
        <f>'Office Minor'!F179</f>
        <v>8509978.6792452838</v>
      </c>
      <c r="G121" s="320">
        <f>'Office Minor'!G179</f>
        <v>2653111</v>
      </c>
      <c r="H121" s="320">
        <f>'Office Minor'!H179</f>
        <v>50</v>
      </c>
      <c r="I121" s="523"/>
      <c r="J121" s="342">
        <f t="shared" si="29"/>
        <v>850.00000000000011</v>
      </c>
    </row>
    <row r="122" spans="1:10" s="334" customFormat="1" ht="17.100000000000001" customHeight="1" x14ac:dyDescent="0.25">
      <c r="A122" s="316">
        <v>13</v>
      </c>
      <c r="B122" s="317" t="s">
        <v>26</v>
      </c>
      <c r="C122" s="320">
        <f>'Office Minor'!C180+'Office Minor'!C145</f>
        <v>33</v>
      </c>
      <c r="D122" s="320">
        <f>'Office Minor'!D180+'Office Minor'!D145</f>
        <v>1149.76</v>
      </c>
      <c r="E122" s="320">
        <f>'Office Minor'!E180+'Office Minor'!E145</f>
        <v>598408</v>
      </c>
      <c r="F122" s="320">
        <f>'Office Minor'!F180+'Office Minor'!F145</f>
        <v>268639984</v>
      </c>
      <c r="G122" s="320">
        <f>'Office Minor'!G180+'Office Minor'!G145</f>
        <v>37307380</v>
      </c>
      <c r="H122" s="320">
        <f>'Office Minor'!H180+'Office Minor'!H145</f>
        <v>280</v>
      </c>
      <c r="I122" s="523"/>
      <c r="J122" s="342">
        <f t="shared" si="29"/>
        <v>448.92445288164595</v>
      </c>
    </row>
    <row r="123" spans="1:10" s="334" customFormat="1" ht="17.100000000000001" customHeight="1" x14ac:dyDescent="0.25">
      <c r="A123" s="316">
        <v>14</v>
      </c>
      <c r="B123" s="317" t="s">
        <v>429</v>
      </c>
      <c r="C123" s="320">
        <f>'Office Minor'!C181+'Office Minor'!C147</f>
        <v>4</v>
      </c>
      <c r="D123" s="320">
        <f>'Office Minor'!D181+'Office Minor'!D147</f>
        <v>14.55</v>
      </c>
      <c r="E123" s="320">
        <f>'Office Minor'!E181+'Office Minor'!E147</f>
        <v>651830</v>
      </c>
      <c r="F123" s="320">
        <f>'Office Minor'!F181+'Office Minor'!F147</f>
        <v>169657880</v>
      </c>
      <c r="G123" s="320">
        <f>'Office Minor'!G181+'Office Minor'!G147</f>
        <v>33039329</v>
      </c>
      <c r="H123" s="320">
        <f>'Office Minor'!H181+'Office Minor'!H147</f>
        <v>70</v>
      </c>
      <c r="I123" s="523"/>
      <c r="J123" s="342">
        <f t="shared" si="29"/>
        <v>260.27933663685315</v>
      </c>
    </row>
    <row r="124" spans="1:10" s="334" customFormat="1" ht="17.100000000000001" customHeight="1" x14ac:dyDescent="0.25">
      <c r="A124" s="316">
        <v>15</v>
      </c>
      <c r="B124" s="862" t="s">
        <v>41</v>
      </c>
      <c r="C124" s="320">
        <f>'Office Minor'!C182+'Office Minor'!C149</f>
        <v>805</v>
      </c>
      <c r="D124" s="320">
        <f>'Office Minor'!D182+'Office Minor'!D149</f>
        <v>3945.6561000000002</v>
      </c>
      <c r="E124" s="320">
        <f>'Office Minor'!E182+'Office Minor'!E149</f>
        <v>1695031</v>
      </c>
      <c r="F124" s="320">
        <f>'Office Minor'!F182+'Office Minor'!F149</f>
        <v>818339039</v>
      </c>
      <c r="G124" s="320">
        <f>'Office Minor'!G182+'Office Minor'!G149</f>
        <v>185888478</v>
      </c>
      <c r="H124" s="320">
        <f>'Office Minor'!H182+'Office Minor'!H149</f>
        <v>4500</v>
      </c>
      <c r="I124" s="523"/>
      <c r="J124" s="342">
        <f t="shared" si="29"/>
        <v>482.78706348143487</v>
      </c>
    </row>
    <row r="125" spans="1:10" s="334" customFormat="1" ht="17.100000000000001" customHeight="1" x14ac:dyDescent="0.25">
      <c r="A125" s="316">
        <v>16</v>
      </c>
      <c r="B125" s="317" t="s">
        <v>40</v>
      </c>
      <c r="C125" s="320">
        <f>'Office Minor'!C183+'Office Minor'!C148</f>
        <v>2</v>
      </c>
      <c r="D125" s="320">
        <f>'Office Minor'!D183+'Office Minor'!D148</f>
        <v>9.7200000000000006</v>
      </c>
      <c r="E125" s="320">
        <f>'Office Minor'!E183+'Office Minor'!E148</f>
        <v>288619</v>
      </c>
      <c r="F125" s="320">
        <f>'Office Minor'!F183+'Office Minor'!F148</f>
        <v>173148224</v>
      </c>
      <c r="G125" s="320">
        <f>'Office Minor'!G183+'Office Minor'!G148</f>
        <v>17179150</v>
      </c>
      <c r="H125" s="320">
        <f>'Office Minor'!H183+'Office Minor'!H148</f>
        <v>0</v>
      </c>
      <c r="I125" s="523"/>
      <c r="J125" s="342">
        <f t="shared" si="29"/>
        <v>599.91970036622672</v>
      </c>
    </row>
    <row r="126" spans="1:10" s="334" customFormat="1" ht="17.100000000000001" customHeight="1" x14ac:dyDescent="0.25">
      <c r="A126" s="316">
        <v>17</v>
      </c>
      <c r="B126" s="317" t="s">
        <v>44</v>
      </c>
      <c r="C126" s="320">
        <f>'Office Minor'!C184</f>
        <v>1</v>
      </c>
      <c r="D126" s="320">
        <f>'Office Minor'!D184</f>
        <v>5</v>
      </c>
      <c r="E126" s="320">
        <f>'Office Minor'!E184</f>
        <v>12718</v>
      </c>
      <c r="F126" s="320">
        <f>'Office Minor'!F184</f>
        <v>6867720</v>
      </c>
      <c r="G126" s="320">
        <f>'Office Minor'!G184</f>
        <v>2255561</v>
      </c>
      <c r="H126" s="320">
        <f>'Office Minor'!H184</f>
        <v>7</v>
      </c>
      <c r="I126" s="523"/>
      <c r="J126" s="342">
        <f t="shared" si="29"/>
        <v>540</v>
      </c>
    </row>
    <row r="127" spans="1:10" s="334" customFormat="1" ht="17.100000000000001" customHeight="1" x14ac:dyDescent="0.25">
      <c r="A127" s="316">
        <v>18</v>
      </c>
      <c r="B127" s="320" t="s">
        <v>71</v>
      </c>
      <c r="C127" s="320">
        <f>'Office Minor'!C142</f>
        <v>0</v>
      </c>
      <c r="D127" s="320">
        <f>'Office Minor'!D142</f>
        <v>0</v>
      </c>
      <c r="E127" s="320">
        <f>'Office Minor'!E142</f>
        <v>2843451</v>
      </c>
      <c r="F127" s="320">
        <f>'Office Minor'!F142</f>
        <v>2843450610</v>
      </c>
      <c r="G127" s="320">
        <f>'Office Minor'!G142</f>
        <v>667696906</v>
      </c>
      <c r="H127" s="320">
        <f>'Office Minor'!H142</f>
        <v>5000</v>
      </c>
      <c r="I127" s="523"/>
      <c r="J127" s="342">
        <f t="shared" si="29"/>
        <v>999.99986284272177</v>
      </c>
    </row>
    <row r="128" spans="1:10" s="334" customFormat="1" ht="17.100000000000001" customHeight="1" x14ac:dyDescent="0.25">
      <c r="A128" s="316"/>
      <c r="B128" s="320" t="s">
        <v>75</v>
      </c>
      <c r="C128" s="320"/>
      <c r="D128" s="320"/>
      <c r="E128" s="320"/>
      <c r="F128" s="320"/>
      <c r="G128" s="320">
        <f>'Office Minor'!G185+'Office Minor'!G150</f>
        <v>8832358</v>
      </c>
      <c r="H128" s="320"/>
      <c r="I128" s="523"/>
      <c r="J128" s="342"/>
    </row>
    <row r="129" spans="1:11" s="334" customFormat="1" ht="17.100000000000001" customHeight="1" x14ac:dyDescent="0.25">
      <c r="A129" s="316"/>
      <c r="B129" s="320" t="s">
        <v>49</v>
      </c>
      <c r="C129" s="320"/>
      <c r="D129" s="320"/>
      <c r="E129" s="320"/>
      <c r="F129" s="320"/>
      <c r="G129" s="320">
        <f>'Office Minor'!G186+'Office Minor'!G151</f>
        <v>258419600</v>
      </c>
      <c r="H129" s="320"/>
      <c r="I129" s="523"/>
      <c r="J129" s="342"/>
    </row>
    <row r="130" spans="1:11" s="334" customFormat="1" ht="17.100000000000001" customHeight="1" x14ac:dyDescent="0.25">
      <c r="A130" s="1231" t="s">
        <v>50</v>
      </c>
      <c r="B130" s="1232"/>
      <c r="C130" s="497">
        <f t="shared" ref="C130:H130" si="30">SUM(C110:C129)</f>
        <v>1511</v>
      </c>
      <c r="D130" s="498">
        <f t="shared" si="30"/>
        <v>14072.806099999998</v>
      </c>
      <c r="E130" s="497">
        <f t="shared" si="30"/>
        <v>15775102.896647435</v>
      </c>
      <c r="F130" s="499">
        <f t="shared" si="30"/>
        <v>11860691219.770153</v>
      </c>
      <c r="G130" s="499">
        <f t="shared" si="30"/>
        <v>2130113251</v>
      </c>
      <c r="H130" s="878">
        <f t="shared" si="30"/>
        <v>17134</v>
      </c>
      <c r="I130" s="524">
        <f>G130+Distt.Major!G52</f>
        <v>15537909421</v>
      </c>
      <c r="J130" s="342"/>
    </row>
    <row r="131" spans="1:11" s="334" customFormat="1" ht="17.100000000000001" customHeight="1" x14ac:dyDescent="0.25">
      <c r="A131" s="513"/>
      <c r="B131" s="513"/>
      <c r="C131" s="513"/>
      <c r="D131" s="513"/>
      <c r="E131" s="513"/>
      <c r="F131" s="513"/>
      <c r="G131" s="513"/>
      <c r="H131" s="513"/>
      <c r="I131" s="523"/>
      <c r="J131" s="342"/>
    </row>
    <row r="132" spans="1:11" s="334" customFormat="1" ht="17.100000000000001" customHeight="1" x14ac:dyDescent="0.25">
      <c r="A132" s="1264" t="s">
        <v>246</v>
      </c>
      <c r="B132" s="1264"/>
      <c r="C132" s="1264"/>
      <c r="D132" s="1264"/>
      <c r="E132" s="1264"/>
      <c r="F132" s="1264"/>
      <c r="G132" s="1264"/>
      <c r="H132" s="1264"/>
      <c r="I132" s="523"/>
      <c r="J132" s="342"/>
    </row>
    <row r="133" spans="1:11" s="334" customFormat="1" ht="17.100000000000001" customHeight="1" x14ac:dyDescent="0.25">
      <c r="A133" s="1225" t="s">
        <v>182</v>
      </c>
      <c r="B133" s="1225" t="s">
        <v>3</v>
      </c>
      <c r="C133" s="1225" t="s">
        <v>4</v>
      </c>
      <c r="D133" s="834" t="s">
        <v>5</v>
      </c>
      <c r="E133" s="68" t="s">
        <v>6</v>
      </c>
      <c r="F133" s="833" t="s">
        <v>7</v>
      </c>
      <c r="G133" s="833" t="s">
        <v>8</v>
      </c>
      <c r="H133" s="68" t="s">
        <v>9</v>
      </c>
      <c r="I133" s="523"/>
      <c r="J133" s="342"/>
    </row>
    <row r="134" spans="1:11" s="334" customFormat="1" ht="17.100000000000001" customHeight="1" x14ac:dyDescent="0.25">
      <c r="A134" s="1230"/>
      <c r="B134" s="1230"/>
      <c r="C134" s="1230"/>
      <c r="D134" s="864" t="s">
        <v>78</v>
      </c>
      <c r="E134" s="75" t="s">
        <v>79</v>
      </c>
      <c r="F134" s="865" t="s">
        <v>80</v>
      </c>
      <c r="G134" s="865" t="s">
        <v>80</v>
      </c>
      <c r="H134" s="75" t="s">
        <v>13</v>
      </c>
      <c r="I134" s="523"/>
      <c r="J134" s="342"/>
    </row>
    <row r="135" spans="1:11" s="334" customFormat="1" ht="17.100000000000001" customHeight="1" x14ac:dyDescent="0.25">
      <c r="A135" s="316">
        <v>1</v>
      </c>
      <c r="B135" s="320" t="s">
        <v>59</v>
      </c>
      <c r="C135" s="320">
        <f>'Office Minor'!C192</f>
        <v>103</v>
      </c>
      <c r="D135" s="320">
        <f>'Office Minor'!D192</f>
        <v>317.57</v>
      </c>
      <c r="E135" s="320">
        <f>'Office Minor'!E192</f>
        <v>2428131</v>
      </c>
      <c r="F135" s="320">
        <f>'Office Minor'!F192</f>
        <v>1335472050</v>
      </c>
      <c r="G135" s="320">
        <f>'Office Minor'!G192</f>
        <v>405703225</v>
      </c>
      <c r="H135" s="320">
        <f>'Office Minor'!H192</f>
        <v>515</v>
      </c>
      <c r="I135" s="523"/>
      <c r="J135" s="342">
        <f>F135/E135</f>
        <v>550</v>
      </c>
    </row>
    <row r="136" spans="1:11" s="334" customFormat="1" ht="17.100000000000001" customHeight="1" x14ac:dyDescent="0.25">
      <c r="A136" s="316">
        <f>+A135+1</f>
        <v>2</v>
      </c>
      <c r="B136" s="320" t="s">
        <v>193</v>
      </c>
      <c r="C136" s="320">
        <f>'Office Minor'!C193</f>
        <v>1</v>
      </c>
      <c r="D136" s="320">
        <f>'Office Minor'!D193</f>
        <v>161.09</v>
      </c>
      <c r="E136" s="320">
        <f>'Office Minor'!E193</f>
        <v>6275</v>
      </c>
      <c r="F136" s="320">
        <f>'Office Minor'!F193</f>
        <v>3451242</v>
      </c>
      <c r="G136" s="320">
        <f>'Office Minor'!G193</f>
        <v>2246230</v>
      </c>
      <c r="H136" s="320">
        <f>'Office Minor'!H193</f>
        <v>6</v>
      </c>
      <c r="I136" s="523"/>
      <c r="J136" s="342">
        <f t="shared" ref="J136:J159" si="31">F136/E136</f>
        <v>549.99872509960164</v>
      </c>
    </row>
    <row r="137" spans="1:11" s="334" customFormat="1" ht="17.100000000000001" customHeight="1" x14ac:dyDescent="0.25">
      <c r="A137" s="316">
        <v>3</v>
      </c>
      <c r="B137" s="320" t="s">
        <v>60</v>
      </c>
      <c r="C137" s="320">
        <f>'Office Minor'!C194</f>
        <v>12</v>
      </c>
      <c r="D137" s="320">
        <f>'Office Minor'!D194</f>
        <v>48.79</v>
      </c>
      <c r="E137" s="320">
        <f>'Office Minor'!E194</f>
        <v>301471</v>
      </c>
      <c r="F137" s="320">
        <f>'Office Minor'!F194</f>
        <v>105514850</v>
      </c>
      <c r="G137" s="320">
        <f>'Office Minor'!G194</f>
        <v>3902453</v>
      </c>
      <c r="H137" s="320">
        <f>'Office Minor'!H194</f>
        <v>72</v>
      </c>
      <c r="I137" s="523"/>
      <c r="J137" s="342">
        <f t="shared" si="31"/>
        <v>350</v>
      </c>
    </row>
    <row r="138" spans="1:11" s="334" customFormat="1" ht="17.100000000000001" customHeight="1" x14ac:dyDescent="0.25">
      <c r="A138" s="316">
        <v>4</v>
      </c>
      <c r="B138" s="320" t="s">
        <v>63</v>
      </c>
      <c r="C138" s="320">
        <f>'Office Minor'!C195</f>
        <v>12</v>
      </c>
      <c r="D138" s="320">
        <f>'Office Minor'!D195</f>
        <v>12</v>
      </c>
      <c r="E138" s="320">
        <f>'Office Minor'!E195</f>
        <v>35687</v>
      </c>
      <c r="F138" s="320">
        <f>'Office Minor'!F195</f>
        <v>7494270</v>
      </c>
      <c r="G138" s="320">
        <f>'Office Minor'!G195</f>
        <v>505754</v>
      </c>
      <c r="H138" s="320">
        <f>'Office Minor'!H195</f>
        <v>72</v>
      </c>
      <c r="I138" s="523"/>
      <c r="J138" s="342">
        <f t="shared" si="31"/>
        <v>210</v>
      </c>
    </row>
    <row r="139" spans="1:11" s="334" customFormat="1" ht="17.100000000000001" customHeight="1" x14ac:dyDescent="0.25">
      <c r="A139" s="316">
        <v>5</v>
      </c>
      <c r="B139" s="320" t="s">
        <v>54</v>
      </c>
      <c r="C139" s="320">
        <f>'Office Minor'!C196</f>
        <v>0</v>
      </c>
      <c r="D139" s="320">
        <f>'Office Minor'!D196</f>
        <v>0</v>
      </c>
      <c r="E139" s="320">
        <f>'Office Minor'!E196</f>
        <v>753626.3125</v>
      </c>
      <c r="F139" s="320">
        <f>'Office Minor'!F196</f>
        <v>158261525.625</v>
      </c>
      <c r="G139" s="320">
        <f>'Office Minor'!G196</f>
        <v>24116042</v>
      </c>
      <c r="H139" s="320">
        <f>'Office Minor'!H196</f>
        <v>250</v>
      </c>
      <c r="I139" s="523"/>
      <c r="J139" s="342">
        <f t="shared" si="31"/>
        <v>210</v>
      </c>
    </row>
    <row r="140" spans="1:11" s="334" customFormat="1" ht="17.100000000000001" customHeight="1" x14ac:dyDescent="0.25">
      <c r="A140" s="316">
        <v>6</v>
      </c>
      <c r="B140" s="320" t="s">
        <v>71</v>
      </c>
      <c r="C140" s="320">
        <f>'Office Minor'!C197</f>
        <v>1</v>
      </c>
      <c r="D140" s="320">
        <f>'Office Minor'!D197</f>
        <v>3.28</v>
      </c>
      <c r="E140" s="320">
        <f>'Office Minor'!E197</f>
        <v>1185</v>
      </c>
      <c r="F140" s="320">
        <f>'Office Minor'!F197</f>
        <v>888750</v>
      </c>
      <c r="G140" s="320">
        <f>'Office Minor'!G197</f>
        <v>747900</v>
      </c>
      <c r="H140" s="320">
        <f>'Office Minor'!H197</f>
        <v>85</v>
      </c>
      <c r="I140" s="523"/>
      <c r="J140" s="342">
        <f t="shared" si="31"/>
        <v>750</v>
      </c>
    </row>
    <row r="141" spans="1:11" s="334" customFormat="1" ht="17.100000000000001" customHeight="1" x14ac:dyDescent="0.25">
      <c r="A141" s="316">
        <v>7</v>
      </c>
      <c r="B141" s="317" t="s">
        <v>31</v>
      </c>
      <c r="C141" s="320">
        <f>'Office Minor'!C198</f>
        <v>36</v>
      </c>
      <c r="D141" s="320">
        <f>'Office Minor'!D198</f>
        <v>4825.1099999999997</v>
      </c>
      <c r="E141" s="320">
        <f>'Office Minor'!E198</f>
        <v>2918684</v>
      </c>
      <c r="F141" s="320">
        <f>'Office Minor'!F198</f>
        <v>2189013000</v>
      </c>
      <c r="G141" s="320">
        <f>'Office Minor'!G198</f>
        <v>552452101</v>
      </c>
      <c r="H141" s="320">
        <f>'Office Minor'!H198</f>
        <v>225</v>
      </c>
      <c r="I141" s="523"/>
      <c r="J141" s="342">
        <f t="shared" si="31"/>
        <v>750</v>
      </c>
    </row>
    <row r="142" spans="1:11" s="334" customFormat="1" ht="17.100000000000001" customHeight="1" x14ac:dyDescent="0.25">
      <c r="A142" s="316">
        <v>8</v>
      </c>
      <c r="B142" s="317" t="s">
        <v>23</v>
      </c>
      <c r="C142" s="320">
        <f>'Office Minor'!C199</f>
        <v>211</v>
      </c>
      <c r="D142" s="320">
        <f>'Office Minor'!D199</f>
        <v>5430.13</v>
      </c>
      <c r="E142" s="320">
        <f>'Office Minor'!E199</f>
        <v>8107862</v>
      </c>
      <c r="F142" s="320">
        <f>'Office Minor'!F199</f>
        <v>5675503400</v>
      </c>
      <c r="G142" s="320">
        <f>'Office Minor'!G199</f>
        <v>648976967</v>
      </c>
      <c r="H142" s="320">
        <f>'Office Minor'!H199</f>
        <v>1110</v>
      </c>
      <c r="I142" s="523"/>
      <c r="J142" s="342">
        <f t="shared" si="31"/>
        <v>700</v>
      </c>
    </row>
    <row r="143" spans="1:11" s="334" customFormat="1" ht="17.100000000000001" customHeight="1" x14ac:dyDescent="0.25">
      <c r="A143" s="316"/>
      <c r="B143" s="320" t="s">
        <v>75</v>
      </c>
      <c r="C143" s="320"/>
      <c r="D143" s="320"/>
      <c r="E143" s="320"/>
      <c r="F143" s="320"/>
      <c r="G143" s="686">
        <f>'Office Minor'!G200</f>
        <v>12254327</v>
      </c>
      <c r="H143" s="320"/>
      <c r="I143" s="523"/>
      <c r="J143" s="342"/>
    </row>
    <row r="144" spans="1:11" s="334" customFormat="1" ht="17.100000000000001" customHeight="1" x14ac:dyDescent="0.25">
      <c r="A144" s="316"/>
      <c r="B144" s="320" t="s">
        <v>49</v>
      </c>
      <c r="C144" s="320"/>
      <c r="D144" s="320"/>
      <c r="E144" s="320"/>
      <c r="F144" s="320"/>
      <c r="G144" s="320">
        <f>'Office Minor'!G201</f>
        <v>160367233</v>
      </c>
      <c r="H144" s="320"/>
      <c r="I144" s="523"/>
      <c r="J144" s="342">
        <v>1065857</v>
      </c>
      <c r="K144" s="334">
        <v>79011760</v>
      </c>
    </row>
    <row r="145" spans="1:19" s="334" customFormat="1" ht="17.100000000000001" customHeight="1" x14ac:dyDescent="0.25">
      <c r="A145" s="1288" t="s">
        <v>50</v>
      </c>
      <c r="B145" s="1232"/>
      <c r="C145" s="497">
        <f t="shared" ref="C145:H145" si="32">SUM(C135:C144)</f>
        <v>376</v>
      </c>
      <c r="D145" s="498">
        <f t="shared" si="32"/>
        <v>10797.97</v>
      </c>
      <c r="E145" s="497">
        <f t="shared" si="32"/>
        <v>14552921.3125</v>
      </c>
      <c r="F145" s="499">
        <f t="shared" si="32"/>
        <v>9475599087.625</v>
      </c>
      <c r="G145" s="499">
        <f t="shared" si="32"/>
        <v>1811272232</v>
      </c>
      <c r="H145" s="878">
        <f t="shared" si="32"/>
        <v>2335</v>
      </c>
      <c r="I145" s="524">
        <f>Distt.Major!G59+G145</f>
        <v>2222998453</v>
      </c>
      <c r="J145" s="342"/>
      <c r="K145" s="334">
        <v>68325540</v>
      </c>
    </row>
    <row r="146" spans="1:19" s="334" customFormat="1" ht="17.100000000000001" customHeight="1" x14ac:dyDescent="0.25">
      <c r="A146" s="879"/>
      <c r="B146" s="520"/>
      <c r="C146" s="520"/>
      <c r="D146" s="880"/>
      <c r="E146" s="520"/>
      <c r="F146" s="521"/>
      <c r="G146" s="521"/>
      <c r="H146" s="879"/>
      <c r="I146" s="523"/>
      <c r="J146" s="342"/>
      <c r="K146" s="334">
        <f>K144-K145</f>
        <v>10686220</v>
      </c>
    </row>
    <row r="147" spans="1:19" s="334" customFormat="1" ht="17.100000000000001" customHeight="1" x14ac:dyDescent="0.25">
      <c r="A147" s="1264" t="s">
        <v>283</v>
      </c>
      <c r="B147" s="1264"/>
      <c r="C147" s="1264"/>
      <c r="D147" s="1264"/>
      <c r="E147" s="1264"/>
      <c r="F147" s="1264"/>
      <c r="G147" s="1264"/>
      <c r="H147" s="1264"/>
      <c r="I147" s="523"/>
      <c r="J147" s="342"/>
    </row>
    <row r="148" spans="1:19" s="334" customFormat="1" ht="17.100000000000001" customHeight="1" x14ac:dyDescent="0.25">
      <c r="A148" s="1225" t="s">
        <v>182</v>
      </c>
      <c r="B148" s="1225" t="s">
        <v>3</v>
      </c>
      <c r="C148" s="1225" t="s">
        <v>4</v>
      </c>
      <c r="D148" s="834" t="s">
        <v>5</v>
      </c>
      <c r="E148" s="68" t="s">
        <v>6</v>
      </c>
      <c r="F148" s="833" t="s">
        <v>7</v>
      </c>
      <c r="G148" s="833" t="s">
        <v>8</v>
      </c>
      <c r="H148" s="68" t="s">
        <v>9</v>
      </c>
      <c r="I148" s="523"/>
      <c r="J148" s="342"/>
    </row>
    <row r="149" spans="1:19" s="334" customFormat="1" ht="17.100000000000001" customHeight="1" x14ac:dyDescent="0.25">
      <c r="A149" s="1230"/>
      <c r="B149" s="1230"/>
      <c r="C149" s="1230"/>
      <c r="D149" s="835" t="s">
        <v>78</v>
      </c>
      <c r="E149" s="69" t="s">
        <v>79</v>
      </c>
      <c r="F149" s="836" t="s">
        <v>80</v>
      </c>
      <c r="G149" s="836" t="s">
        <v>80</v>
      </c>
      <c r="H149" s="69" t="s">
        <v>13</v>
      </c>
      <c r="I149" s="523"/>
      <c r="J149" s="342"/>
    </row>
    <row r="150" spans="1:19" s="334" customFormat="1" ht="17.100000000000001" customHeight="1" x14ac:dyDescent="0.25">
      <c r="A150" s="324">
        <v>1</v>
      </c>
      <c r="B150" s="321" t="s">
        <v>71</v>
      </c>
      <c r="C150" s="325">
        <f>'Office Minor'!C207+'Office Minor'!C215</f>
        <v>562</v>
      </c>
      <c r="D150" s="325">
        <f>'Office Minor'!D207+'Office Minor'!D215</f>
        <v>1474.2532999999999</v>
      </c>
      <c r="E150" s="325">
        <f>'Office Minor'!E207+'Office Minor'!E215</f>
        <v>1271728</v>
      </c>
      <c r="F150" s="325">
        <f>'Office Minor'!F207+'Office Minor'!F215</f>
        <v>1042060270</v>
      </c>
      <c r="G150" s="325">
        <f>'Office Minor'!G207+'Office Minor'!G215</f>
        <v>543659327</v>
      </c>
      <c r="H150" s="325">
        <f>'Office Minor'!H207+'Office Minor'!H215</f>
        <v>7485</v>
      </c>
      <c r="I150" s="523"/>
      <c r="J150" s="342">
        <f>F150/E150</f>
        <v>819.40499068983308</v>
      </c>
      <c r="L150" s="334" t="s">
        <v>494</v>
      </c>
      <c r="M150" s="334" t="s">
        <v>495</v>
      </c>
      <c r="N150" s="334">
        <f>'Office Minor'!C207</f>
        <v>199</v>
      </c>
      <c r="O150" s="334">
        <f>'Office Minor'!D207</f>
        <v>830.20330000000001</v>
      </c>
      <c r="P150" s="334">
        <f>'Office Minor'!E207</f>
        <v>493547</v>
      </c>
      <c r="Q150" s="334">
        <f>'Office Minor'!F207</f>
        <v>419514950</v>
      </c>
      <c r="R150" s="334">
        <f>'Office Minor'!G207</f>
        <v>480984809</v>
      </c>
      <c r="S150" s="334">
        <f>'Office Minor'!H207</f>
        <v>2985</v>
      </c>
    </row>
    <row r="151" spans="1:19" s="334" customFormat="1" ht="17.100000000000001" customHeight="1" x14ac:dyDescent="0.25">
      <c r="A151" s="324">
        <v>2</v>
      </c>
      <c r="B151" s="321" t="s">
        <v>63</v>
      </c>
      <c r="C151" s="325">
        <f>'Office Minor'!C216</f>
        <v>56</v>
      </c>
      <c r="D151" s="325">
        <f>'Office Minor'!D216</f>
        <v>62.51</v>
      </c>
      <c r="E151" s="325">
        <f>'Office Minor'!E216</f>
        <v>781411</v>
      </c>
      <c r="F151" s="325">
        <f>'Office Minor'!F216</f>
        <v>187538649</v>
      </c>
      <c r="G151" s="325">
        <f>'Office Minor'!G216</f>
        <v>33175543</v>
      </c>
      <c r="H151" s="325">
        <f>'Office Minor'!H216</f>
        <v>250</v>
      </c>
      <c r="I151" s="523">
        <v>75867026</v>
      </c>
      <c r="J151" s="342">
        <f t="shared" si="31"/>
        <v>240.00001151762646</v>
      </c>
      <c r="M151" s="334" t="s">
        <v>496</v>
      </c>
      <c r="N151" s="334" t="e">
        <f>'Office Minor'!#REF!</f>
        <v>#REF!</v>
      </c>
      <c r="O151" s="334" t="e">
        <f>'Office Minor'!#REF!</f>
        <v>#REF!</v>
      </c>
      <c r="P151" s="334" t="e">
        <f>'Office Minor'!#REF!</f>
        <v>#REF!</v>
      </c>
      <c r="Q151" s="334" t="e">
        <f>'Office Minor'!#REF!</f>
        <v>#REF!</v>
      </c>
      <c r="R151" s="334" t="e">
        <f>'Office Minor'!#REF!</f>
        <v>#REF!</v>
      </c>
      <c r="S151" s="334" t="e">
        <f>'Office Minor'!#REF!</f>
        <v>#REF!</v>
      </c>
    </row>
    <row r="152" spans="1:19" s="334" customFormat="1" ht="17.100000000000001" customHeight="1" x14ac:dyDescent="0.25">
      <c r="A152" s="324">
        <v>3</v>
      </c>
      <c r="B152" s="320" t="s">
        <v>62</v>
      </c>
      <c r="C152" s="325">
        <f>'Office Minor'!C217</f>
        <v>11</v>
      </c>
      <c r="D152" s="325">
        <f>'Office Minor'!D217</f>
        <v>31.82</v>
      </c>
      <c r="E152" s="325">
        <f>'Office Minor'!E217</f>
        <v>121994.51</v>
      </c>
      <c r="F152" s="325">
        <f>'Office Minor'!F217</f>
        <v>225689843</v>
      </c>
      <c r="G152" s="325">
        <f>'Office Minor'!G217</f>
        <v>5801061</v>
      </c>
      <c r="H152" s="325">
        <f>'Office Minor'!H217</f>
        <v>150</v>
      </c>
      <c r="I152" s="523"/>
      <c r="J152" s="342">
        <f t="shared" si="31"/>
        <v>1849.9999959014549</v>
      </c>
      <c r="M152" s="334" t="s">
        <v>497</v>
      </c>
      <c r="N152" s="334">
        <f>'Office Minor'!C463</f>
        <v>6</v>
      </c>
      <c r="O152" s="334">
        <f>'Office Minor'!D463</f>
        <v>10</v>
      </c>
      <c r="P152" s="334">
        <f>'Office Minor'!E463</f>
        <v>43284</v>
      </c>
      <c r="Q152" s="334">
        <f>'Office Minor'!F463</f>
        <v>32463918</v>
      </c>
      <c r="R152" s="334">
        <f>'Office Minor'!G463</f>
        <v>3154204</v>
      </c>
      <c r="S152" s="334">
        <f>'Office Minor'!H463</f>
        <v>14</v>
      </c>
    </row>
    <row r="153" spans="1:19" s="334" customFormat="1" ht="17.100000000000001" customHeight="1" x14ac:dyDescent="0.25">
      <c r="A153" s="324">
        <v>4</v>
      </c>
      <c r="B153" s="604" t="s">
        <v>38</v>
      </c>
      <c r="C153" s="325">
        <f>'Office Minor'!C221</f>
        <v>0</v>
      </c>
      <c r="D153" s="325">
        <f>'Office Minor'!D221</f>
        <v>0</v>
      </c>
      <c r="E153" s="325">
        <f>'Office Minor'!E221</f>
        <v>15030.49</v>
      </c>
      <c r="F153" s="325">
        <f>'Office Minor'!F221</f>
        <v>3907927.4</v>
      </c>
      <c r="G153" s="325">
        <f>'Office Minor'!G221</f>
        <v>2936226</v>
      </c>
      <c r="H153" s="325">
        <f>'Office Minor'!H221</f>
        <v>50</v>
      </c>
      <c r="I153" s="523"/>
      <c r="J153" s="342">
        <f t="shared" si="31"/>
        <v>260</v>
      </c>
      <c r="N153" s="707" t="e">
        <f>N150+N151+N152</f>
        <v>#REF!</v>
      </c>
      <c r="O153" s="707" t="e">
        <f t="shared" ref="O153:S153" si="33">O150+O151+O152</f>
        <v>#REF!</v>
      </c>
      <c r="P153" s="707" t="e">
        <f t="shared" si="33"/>
        <v>#REF!</v>
      </c>
      <c r="Q153" s="707" t="e">
        <f t="shared" si="33"/>
        <v>#REF!</v>
      </c>
      <c r="R153" s="707" t="e">
        <f t="shared" si="33"/>
        <v>#REF!</v>
      </c>
      <c r="S153" s="707" t="e">
        <f t="shared" si="33"/>
        <v>#REF!</v>
      </c>
    </row>
    <row r="154" spans="1:19" s="334" customFormat="1" ht="17.100000000000001" customHeight="1" x14ac:dyDescent="0.25">
      <c r="A154" s="324">
        <v>5</v>
      </c>
      <c r="B154" s="320" t="s">
        <v>60</v>
      </c>
      <c r="C154" s="325">
        <f>'Office Minor'!C219+'Office Minor'!C465</f>
        <v>9</v>
      </c>
      <c r="D154" s="325">
        <f>'Office Minor'!D219+'Office Minor'!D465</f>
        <v>19.799999999999997</v>
      </c>
      <c r="E154" s="325">
        <f>'Office Minor'!E219+'Office Minor'!E465</f>
        <v>25836.99</v>
      </c>
      <c r="F154" s="325">
        <f>'Office Minor'!F219+'Office Minor'!F465</f>
        <v>10003243</v>
      </c>
      <c r="G154" s="325">
        <f>'Office Minor'!G219+'Office Minor'!G465</f>
        <v>3660143</v>
      </c>
      <c r="H154" s="325">
        <f>'Office Minor'!H219+'Office Minor'!H465</f>
        <v>45</v>
      </c>
      <c r="I154" s="523"/>
      <c r="J154" s="342">
        <f t="shared" si="31"/>
        <v>387.16750674130384</v>
      </c>
    </row>
    <row r="155" spans="1:19" s="334" customFormat="1" ht="17.100000000000001" customHeight="1" x14ac:dyDescent="0.25">
      <c r="A155" s="324">
        <v>6</v>
      </c>
      <c r="B155" s="321" t="s">
        <v>59</v>
      </c>
      <c r="C155" s="325">
        <f>'Office Minor'!C220</f>
        <v>1</v>
      </c>
      <c r="D155" s="325">
        <f>'Office Minor'!D220</f>
        <v>141.44999999999999</v>
      </c>
      <c r="E155" s="325">
        <f>'Office Minor'!E220</f>
        <v>0</v>
      </c>
      <c r="F155" s="325">
        <f>'Office Minor'!F220</f>
        <v>0</v>
      </c>
      <c r="G155" s="325">
        <f>'Office Minor'!G220</f>
        <v>0</v>
      </c>
      <c r="H155" s="325">
        <f>'Office Minor'!H220</f>
        <v>0</v>
      </c>
      <c r="I155" s="523"/>
      <c r="J155" s="342" t="e">
        <f t="shared" si="31"/>
        <v>#DIV/0!</v>
      </c>
      <c r="L155" s="334" t="s">
        <v>498</v>
      </c>
      <c r="M155" s="334" t="s">
        <v>597</v>
      </c>
    </row>
    <row r="156" spans="1:19" s="334" customFormat="1" ht="17.100000000000001" customHeight="1" x14ac:dyDescent="0.25">
      <c r="A156" s="324">
        <v>7</v>
      </c>
      <c r="B156" s="881" t="s">
        <v>44</v>
      </c>
      <c r="C156" s="325">
        <f>'Office Minor'!C222</f>
        <v>1</v>
      </c>
      <c r="D156" s="325">
        <f>'Office Minor'!D222</f>
        <v>59.5</v>
      </c>
      <c r="E156" s="325">
        <f>'Office Minor'!E222</f>
        <v>0</v>
      </c>
      <c r="F156" s="325">
        <f>'Office Minor'!F222</f>
        <v>0</v>
      </c>
      <c r="G156" s="325" t="str">
        <f>'Office Minor'!G222</f>
        <v xml:space="preserve"> </v>
      </c>
      <c r="H156" s="325">
        <f>'Office Minor'!H222</f>
        <v>0</v>
      </c>
      <c r="I156" s="523"/>
      <c r="J156" s="342" t="e">
        <f t="shared" si="31"/>
        <v>#DIV/0!</v>
      </c>
      <c r="M156" s="334" t="s">
        <v>496</v>
      </c>
      <c r="N156" s="334" t="e">
        <f>'Office Minor'!#REF!</f>
        <v>#REF!</v>
      </c>
      <c r="O156" s="334" t="e">
        <f>'Office Minor'!#REF!</f>
        <v>#REF!</v>
      </c>
      <c r="P156" s="334" t="e">
        <f>'Office Minor'!#REF!</f>
        <v>#REF!</v>
      </c>
      <c r="Q156" s="334" t="e">
        <f>'Office Minor'!#REF!</f>
        <v>#REF!</v>
      </c>
      <c r="R156" s="334" t="e">
        <f>'Office Minor'!#REF!</f>
        <v>#REF!</v>
      </c>
      <c r="S156" s="334" t="e">
        <f>'Office Minor'!#REF!</f>
        <v>#REF!</v>
      </c>
    </row>
    <row r="157" spans="1:19" s="334" customFormat="1" ht="17.100000000000001" customHeight="1" x14ac:dyDescent="0.25">
      <c r="A157" s="324">
        <v>8</v>
      </c>
      <c r="B157" s="331" t="s">
        <v>26</v>
      </c>
      <c r="C157" s="325">
        <f>'Office Minor'!C223</f>
        <v>4</v>
      </c>
      <c r="D157" s="325">
        <f>'Office Minor'!D223</f>
        <v>74.62</v>
      </c>
      <c r="E157" s="325">
        <f>'Office Minor'!E223</f>
        <v>24418.99</v>
      </c>
      <c r="F157" s="325">
        <f>'Office Minor'!F223</f>
        <v>10744355.600000001</v>
      </c>
      <c r="G157" s="325">
        <f>'Office Minor'!G223</f>
        <v>754734</v>
      </c>
      <c r="H157" s="325">
        <f>'Office Minor'!H223</f>
        <v>25</v>
      </c>
      <c r="I157" s="523"/>
      <c r="J157" s="342">
        <f t="shared" si="31"/>
        <v>440.00000000000006</v>
      </c>
      <c r="M157" s="334" t="s">
        <v>497</v>
      </c>
      <c r="N157" s="423"/>
      <c r="O157" s="423"/>
      <c r="P157" s="423"/>
      <c r="Q157" s="423"/>
      <c r="R157" s="423"/>
      <c r="S157" s="423"/>
    </row>
    <row r="158" spans="1:19" s="334" customFormat="1" ht="17.100000000000001" customHeight="1" x14ac:dyDescent="0.25">
      <c r="A158" s="324">
        <v>9</v>
      </c>
      <c r="B158" s="493" t="s">
        <v>40</v>
      </c>
      <c r="C158" s="325">
        <f>'Office Minor'!C224</f>
        <v>0</v>
      </c>
      <c r="D158" s="325">
        <f>'Office Minor'!D224</f>
        <v>0</v>
      </c>
      <c r="E158" s="325">
        <f>'Office Minor'!E224</f>
        <v>314.04000000000002</v>
      </c>
      <c r="F158" s="325">
        <f>'Office Minor'!F224</f>
        <v>207266.40000000002</v>
      </c>
      <c r="G158" s="325">
        <f>'Office Minor'!G224</f>
        <v>5167</v>
      </c>
      <c r="H158" s="325">
        <f>'Office Minor'!H224</f>
        <v>5</v>
      </c>
      <c r="I158" s="523"/>
      <c r="J158" s="342"/>
      <c r="N158" s="423"/>
      <c r="O158" s="423"/>
      <c r="P158" s="423"/>
      <c r="Q158" s="423"/>
      <c r="R158" s="423"/>
      <c r="S158" s="423"/>
    </row>
    <row r="159" spans="1:19" s="334" customFormat="1" ht="17.100000000000001" customHeight="1" x14ac:dyDescent="0.25">
      <c r="A159" s="324"/>
      <c r="B159" s="320" t="s">
        <v>75</v>
      </c>
      <c r="C159" s="325">
        <f>'Office Minor'!C208+'Office Minor'!C225</f>
        <v>0</v>
      </c>
      <c r="D159" s="325">
        <f>'Office Minor'!D208+'Office Minor'!D225</f>
        <v>0</v>
      </c>
      <c r="E159" s="325">
        <f>'Office Minor'!E208+'Office Minor'!E225</f>
        <v>0</v>
      </c>
      <c r="F159" s="325">
        <f>'Office Minor'!F208+'Office Minor'!F225</f>
        <v>0</v>
      </c>
      <c r="G159" s="325">
        <f>'Office Minor'!G208+'Office Minor'!G225</f>
        <v>30080000</v>
      </c>
      <c r="H159" s="325">
        <f>'Office Minor'!H208+'Office Minor'!H225</f>
        <v>0</v>
      </c>
      <c r="I159" s="523"/>
      <c r="J159" s="342" t="e">
        <f t="shared" si="31"/>
        <v>#DIV/0!</v>
      </c>
      <c r="N159" s="707" t="e">
        <f>N156+N157+N155</f>
        <v>#REF!</v>
      </c>
      <c r="O159" s="707" t="e">
        <f t="shared" ref="O159:S159" si="34">O156+O157+O155</f>
        <v>#REF!</v>
      </c>
      <c r="P159" s="707" t="e">
        <f t="shared" si="34"/>
        <v>#REF!</v>
      </c>
      <c r="Q159" s="707" t="e">
        <f t="shared" si="34"/>
        <v>#REF!</v>
      </c>
      <c r="R159" s="707" t="e">
        <f t="shared" si="34"/>
        <v>#REF!</v>
      </c>
      <c r="S159" s="707" t="e">
        <f t="shared" si="34"/>
        <v>#REF!</v>
      </c>
    </row>
    <row r="160" spans="1:19" s="334" customFormat="1" ht="17.100000000000001" customHeight="1" x14ac:dyDescent="0.25">
      <c r="A160" s="324"/>
      <c r="B160" s="320" t="s">
        <v>49</v>
      </c>
      <c r="C160" s="325">
        <f>'Office Minor'!C209+'Office Minor'!C226</f>
        <v>0</v>
      </c>
      <c r="D160" s="325">
        <f>'Office Minor'!D209+'Office Minor'!D226</f>
        <v>0</v>
      </c>
      <c r="E160" s="325">
        <f>'Office Minor'!E209+'Office Minor'!E226</f>
        <v>0</v>
      </c>
      <c r="F160" s="325">
        <f>'Office Minor'!F209+'Office Minor'!F226</f>
        <v>0</v>
      </c>
      <c r="G160" s="325">
        <f>'Office Minor'!G209+'Office Minor'!G226</f>
        <v>0</v>
      </c>
      <c r="H160" s="325">
        <f>'Office Minor'!H209+'Office Minor'!H226</f>
        <v>0</v>
      </c>
      <c r="I160" s="523"/>
      <c r="J160" s="342"/>
    </row>
    <row r="161" spans="1:19" s="334" customFormat="1" ht="17.100000000000001" customHeight="1" x14ac:dyDescent="0.25">
      <c r="A161" s="1231" t="s">
        <v>50</v>
      </c>
      <c r="B161" s="1232"/>
      <c r="C161" s="497">
        <f t="shared" ref="C161:H161" si="35">SUM(C150:C160)</f>
        <v>644</v>
      </c>
      <c r="D161" s="498">
        <f t="shared" si="35"/>
        <v>1863.9532999999997</v>
      </c>
      <c r="E161" s="497">
        <f t="shared" si="35"/>
        <v>2240734.0200000005</v>
      </c>
      <c r="F161" s="497">
        <f t="shared" si="35"/>
        <v>1480151554.4000001</v>
      </c>
      <c r="G161" s="497">
        <f t="shared" si="35"/>
        <v>620072201</v>
      </c>
      <c r="H161" s="497">
        <f t="shared" si="35"/>
        <v>8010</v>
      </c>
      <c r="I161" s="527">
        <f>G161+Distt.Major!G65</f>
        <v>692072201</v>
      </c>
      <c r="J161" s="342"/>
      <c r="L161" s="334" t="s">
        <v>499</v>
      </c>
      <c r="M161" s="334" t="s">
        <v>496</v>
      </c>
      <c r="N161" s="334" t="e">
        <f>'Office Minor'!#REF!</f>
        <v>#REF!</v>
      </c>
      <c r="O161" s="334" t="e">
        <f>'Office Minor'!#REF!</f>
        <v>#REF!</v>
      </c>
      <c r="P161" s="334" t="e">
        <f>'Office Minor'!#REF!</f>
        <v>#REF!</v>
      </c>
      <c r="Q161" s="334" t="e">
        <f>'Office Minor'!#REF!</f>
        <v>#REF!</v>
      </c>
      <c r="R161" s="334" t="e">
        <f>'Office Minor'!#REF!</f>
        <v>#REF!</v>
      </c>
      <c r="S161" s="334" t="e">
        <f>'Office Minor'!#REF!</f>
        <v>#REF!</v>
      </c>
    </row>
    <row r="162" spans="1:19" s="334" customFormat="1" ht="17.100000000000001" customHeight="1" x14ac:dyDescent="0.25">
      <c r="A162" s="513"/>
      <c r="B162" s="513"/>
      <c r="C162" s="513"/>
      <c r="D162" s="513"/>
      <c r="E162" s="513"/>
      <c r="F162" s="513"/>
      <c r="G162" s="513"/>
      <c r="H162" s="513"/>
      <c r="I162" s="523"/>
      <c r="J162" s="342"/>
      <c r="M162" s="334" t="s">
        <v>497</v>
      </c>
    </row>
    <row r="163" spans="1:19" s="334" customFormat="1" ht="17.100000000000001" customHeight="1" x14ac:dyDescent="0.25">
      <c r="A163" s="1264" t="s">
        <v>248</v>
      </c>
      <c r="B163" s="1264"/>
      <c r="C163" s="1264"/>
      <c r="D163" s="1264"/>
      <c r="E163" s="1264"/>
      <c r="F163" s="1264"/>
      <c r="G163" s="1264"/>
      <c r="H163" s="1264"/>
      <c r="I163" s="523"/>
      <c r="J163" s="342"/>
      <c r="N163" s="707" t="e">
        <f>N161+N162</f>
        <v>#REF!</v>
      </c>
      <c r="O163" s="707" t="e">
        <f t="shared" ref="O163:S163" si="36">O161+O162</f>
        <v>#REF!</v>
      </c>
      <c r="P163" s="707" t="e">
        <f t="shared" si="36"/>
        <v>#REF!</v>
      </c>
      <c r="Q163" s="707" t="e">
        <f t="shared" si="36"/>
        <v>#REF!</v>
      </c>
      <c r="R163" s="707" t="e">
        <f>R161+R162</f>
        <v>#REF!</v>
      </c>
      <c r="S163" s="707" t="e">
        <f t="shared" si="36"/>
        <v>#REF!</v>
      </c>
    </row>
    <row r="164" spans="1:19" s="334" customFormat="1" ht="17.100000000000001" customHeight="1" x14ac:dyDescent="0.25">
      <c r="A164" s="1225" t="s">
        <v>182</v>
      </c>
      <c r="B164" s="1225" t="s">
        <v>3</v>
      </c>
      <c r="C164" s="1225" t="s">
        <v>4</v>
      </c>
      <c r="D164" s="882" t="s">
        <v>5</v>
      </c>
      <c r="E164" s="844" t="s">
        <v>6</v>
      </c>
      <c r="F164" s="883" t="s">
        <v>7</v>
      </c>
      <c r="G164" s="883" t="s">
        <v>8</v>
      </c>
      <c r="H164" s="844" t="s">
        <v>9</v>
      </c>
      <c r="I164" s="523"/>
      <c r="J164" s="342" t="s">
        <v>501</v>
      </c>
      <c r="K164" s="334" t="s">
        <v>605</v>
      </c>
      <c r="L164" s="342" t="e">
        <f>'Office Minor'!G209+'Office Minor'!#REF!</f>
        <v>#REF!</v>
      </c>
      <c r="M164" s="334" t="s">
        <v>500</v>
      </c>
      <c r="N164" s="342" t="e">
        <f>'Office Minor'!#REF!+'Office Minor'!G208</f>
        <v>#REF!</v>
      </c>
    </row>
    <row r="165" spans="1:19" s="334" customFormat="1" ht="17.100000000000001" customHeight="1" x14ac:dyDescent="0.25">
      <c r="A165" s="1230"/>
      <c r="B165" s="1230"/>
      <c r="C165" s="1230"/>
      <c r="D165" s="884" t="s">
        <v>78</v>
      </c>
      <c r="E165" s="71" t="s">
        <v>79</v>
      </c>
      <c r="F165" s="850" t="s">
        <v>80</v>
      </c>
      <c r="G165" s="850" t="s">
        <v>80</v>
      </c>
      <c r="H165" s="71" t="s">
        <v>13</v>
      </c>
      <c r="I165" s="523"/>
      <c r="J165" s="342" t="s">
        <v>488</v>
      </c>
      <c r="L165" s="423">
        <v>0</v>
      </c>
      <c r="N165" s="423">
        <v>0</v>
      </c>
    </row>
    <row r="166" spans="1:19" s="334" customFormat="1" ht="17.100000000000001" customHeight="1" x14ac:dyDescent="0.25">
      <c r="A166" s="316">
        <v>1</v>
      </c>
      <c r="B166" s="320" t="s">
        <v>60</v>
      </c>
      <c r="C166" s="321">
        <f>'Office Minor'!C245+'Office Minor'!C548</f>
        <v>2</v>
      </c>
      <c r="D166" s="321">
        <f>'Office Minor'!D245+'Office Minor'!D548</f>
        <v>120</v>
      </c>
      <c r="E166" s="321">
        <f>'Office Minor'!E245+'Office Minor'!E548</f>
        <v>26112</v>
      </c>
      <c r="F166" s="321">
        <f>'Office Minor'!F245+'Office Minor'!F548</f>
        <v>9139228</v>
      </c>
      <c r="G166" s="321">
        <f>'Office Minor'!G245+'Office Minor'!G548</f>
        <v>3789790</v>
      </c>
      <c r="H166" s="321">
        <f>'Office Minor'!H245+'Office Minor'!H548</f>
        <v>500</v>
      </c>
      <c r="I166" s="523"/>
      <c r="J166" s="342">
        <f>F166/E166</f>
        <v>350.00107230392155</v>
      </c>
      <c r="L166" s="342" t="e">
        <f>L165+L164</f>
        <v>#REF!</v>
      </c>
      <c r="N166" s="342" t="e">
        <f>N165+N164</f>
        <v>#REF!</v>
      </c>
      <c r="P166" s="342"/>
      <c r="R166" s="342">
        <f>'Office Minor'!G471</f>
        <v>60408300</v>
      </c>
    </row>
    <row r="167" spans="1:19" s="334" customFormat="1" ht="17.100000000000001" customHeight="1" x14ac:dyDescent="0.25">
      <c r="A167" s="316">
        <v>2</v>
      </c>
      <c r="B167" s="320" t="s">
        <v>63</v>
      </c>
      <c r="C167" s="321">
        <f>'Office Minor'!C246+'Office Minor'!C550</f>
        <v>37</v>
      </c>
      <c r="D167" s="321">
        <f>'Office Minor'!D246+'Office Minor'!D550</f>
        <v>42.370000000000005</v>
      </c>
      <c r="E167" s="321">
        <f>'Office Minor'!E246+'Office Minor'!E550</f>
        <v>271295</v>
      </c>
      <c r="F167" s="321">
        <f>'Office Minor'!F246+'Office Minor'!F550</f>
        <v>58198350</v>
      </c>
      <c r="G167" s="321">
        <f>'Office Minor'!G246+'Office Minor'!G550</f>
        <v>10199424</v>
      </c>
      <c r="H167" s="321">
        <f>'Office Minor'!H246+'Office Minor'!H550</f>
        <v>55</v>
      </c>
      <c r="I167" s="523"/>
      <c r="J167" s="342">
        <f t="shared" ref="J167:J185" si="37">F167/E167</f>
        <v>214.52054037118265</v>
      </c>
      <c r="P167" s="342"/>
      <c r="R167" s="342">
        <f>R166-L165</f>
        <v>60408300</v>
      </c>
    </row>
    <row r="168" spans="1:19" s="334" customFormat="1" ht="17.100000000000001" customHeight="1" x14ac:dyDescent="0.25">
      <c r="A168" s="316">
        <v>3</v>
      </c>
      <c r="B168" s="320" t="s">
        <v>59</v>
      </c>
      <c r="C168" s="321">
        <f>'Office Minor'!C247+'Office Minor'!C554</f>
        <v>8</v>
      </c>
      <c r="D168" s="321">
        <f>'Office Minor'!D247+'Office Minor'!D554</f>
        <v>1499.6499999999999</v>
      </c>
      <c r="E168" s="321">
        <f>'Office Minor'!E247+'Office Minor'!E554</f>
        <v>461020</v>
      </c>
      <c r="F168" s="321">
        <f>'Office Minor'!F247+'Office Minor'!F554</f>
        <v>253561000</v>
      </c>
      <c r="G168" s="321">
        <f>'Office Minor'!G247+'Office Minor'!G554</f>
        <v>50865402</v>
      </c>
      <c r="H168" s="321">
        <f>'Office Minor'!H247+'Office Minor'!H554</f>
        <v>77</v>
      </c>
      <c r="I168" s="523"/>
      <c r="J168" s="342">
        <f t="shared" si="37"/>
        <v>550</v>
      </c>
    </row>
    <row r="169" spans="1:19" s="334" customFormat="1" ht="17.100000000000001" customHeight="1" x14ac:dyDescent="0.25">
      <c r="A169" s="316">
        <v>4</v>
      </c>
      <c r="B169" s="320" t="s">
        <v>144</v>
      </c>
      <c r="C169" s="321">
        <f>'Office Minor'!C248+'Office Minor'!C549</f>
        <v>0</v>
      </c>
      <c r="D169" s="321">
        <f>'Office Minor'!D248+'Office Minor'!D549</f>
        <v>0</v>
      </c>
      <c r="E169" s="321">
        <f>'Office Minor'!E248+'Office Minor'!E549</f>
        <v>663856</v>
      </c>
      <c r="F169" s="321">
        <f>'Office Minor'!F248+'Office Minor'!F549</f>
        <v>697152198</v>
      </c>
      <c r="G169" s="321">
        <f>'Office Minor'!G248+'Office Minor'!G549</f>
        <v>26402685</v>
      </c>
      <c r="H169" s="321">
        <f>'Office Minor'!H248+'Office Minor'!H549</f>
        <v>300</v>
      </c>
      <c r="I169" s="523"/>
      <c r="J169" s="342">
        <f t="shared" si="37"/>
        <v>1050.1557536574196</v>
      </c>
      <c r="L169" s="166"/>
      <c r="M169" s="166"/>
      <c r="N169" s="166"/>
      <c r="O169" s="166"/>
      <c r="P169" s="166"/>
      <c r="Q169" s="166"/>
    </row>
    <row r="170" spans="1:19" s="334" customFormat="1" ht="17.100000000000001" customHeight="1" x14ac:dyDescent="0.25">
      <c r="A170" s="316">
        <v>5</v>
      </c>
      <c r="B170" s="885" t="s">
        <v>67</v>
      </c>
      <c r="C170" s="321">
        <f>'Office Minor'!C553</f>
        <v>0</v>
      </c>
      <c r="D170" s="321">
        <f>'Office Minor'!D553</f>
        <v>0</v>
      </c>
      <c r="E170" s="321">
        <f>'Office Minor'!E553</f>
        <v>682392</v>
      </c>
      <c r="F170" s="321">
        <f>'Office Minor'!F553</f>
        <v>443554235</v>
      </c>
      <c r="G170" s="321">
        <f>'Office Minor'!G553</f>
        <v>112346542</v>
      </c>
      <c r="H170" s="321">
        <f>'Office Minor'!H553</f>
        <v>1500</v>
      </c>
      <c r="I170" s="523"/>
      <c r="J170" s="342">
        <f t="shared" si="37"/>
        <v>649.99917203015275</v>
      </c>
      <c r="K170" s="334" t="s">
        <v>594</v>
      </c>
      <c r="L170" s="334">
        <f>'Office Minor'!C248+'Office Minor'!C549</f>
        <v>0</v>
      </c>
      <c r="M170" s="334">
        <f>'Office Minor'!D248+'Office Minor'!D549</f>
        <v>0</v>
      </c>
      <c r="N170" s="334">
        <f>'Office Minor'!E248+'Office Minor'!E549</f>
        <v>663856</v>
      </c>
      <c r="O170" s="334">
        <f>'Office Minor'!F248+'Office Minor'!F549</f>
        <v>697152198</v>
      </c>
      <c r="P170" s="334">
        <f>'Office Minor'!G248+'Office Minor'!G549</f>
        <v>26402685</v>
      </c>
      <c r="Q170" s="334">
        <f>'Office Minor'!H248+'Office Minor'!H549</f>
        <v>300</v>
      </c>
    </row>
    <row r="171" spans="1:19" s="334" customFormat="1" ht="17.100000000000001" customHeight="1" x14ac:dyDescent="0.25">
      <c r="A171" s="316">
        <v>6</v>
      </c>
      <c r="B171" s="320" t="s">
        <v>71</v>
      </c>
      <c r="C171" s="321">
        <f>'Office Minor'!C249</f>
        <v>0</v>
      </c>
      <c r="D171" s="321">
        <f>'Office Minor'!D249</f>
        <v>0</v>
      </c>
      <c r="E171" s="321">
        <f>'Office Minor'!E249</f>
        <v>32094.57</v>
      </c>
      <c r="F171" s="321">
        <f>'Office Minor'!F249</f>
        <v>32094570</v>
      </c>
      <c r="G171" s="321">
        <f>'Office Minor'!G249</f>
        <v>3209457</v>
      </c>
      <c r="H171" s="321">
        <f>'Office Minor'!H249</f>
        <v>70</v>
      </c>
      <c r="I171" s="523"/>
      <c r="J171" s="342">
        <f t="shared" si="37"/>
        <v>1000</v>
      </c>
      <c r="K171" s="334" t="s">
        <v>592</v>
      </c>
      <c r="L171" s="334">
        <f>'Office Minor'!C466</f>
        <v>2</v>
      </c>
      <c r="M171" s="334">
        <f>'Office Minor'!D466</f>
        <v>2</v>
      </c>
      <c r="N171" s="334">
        <f>'Office Minor'!E466</f>
        <v>0</v>
      </c>
      <c r="O171" s="334">
        <f>'Office Minor'!F466</f>
        <v>0</v>
      </c>
      <c r="P171" s="334">
        <f>'Office Minor'!G466</f>
        <v>0</v>
      </c>
      <c r="Q171" s="334">
        <f>'Office Minor'!H466</f>
        <v>0</v>
      </c>
    </row>
    <row r="172" spans="1:19" s="334" customFormat="1" ht="17.100000000000001" customHeight="1" x14ac:dyDescent="0.25">
      <c r="A172" s="316">
        <v>7</v>
      </c>
      <c r="B172" s="320" t="s">
        <v>54</v>
      </c>
      <c r="C172" s="321">
        <f>'Office Minor'!C251</f>
        <v>0</v>
      </c>
      <c r="D172" s="321">
        <f>'Office Minor'!D251</f>
        <v>0</v>
      </c>
      <c r="E172" s="321">
        <f>'Office Minor'!E251</f>
        <v>89880</v>
      </c>
      <c r="F172" s="321">
        <f>'Office Minor'!F251</f>
        <v>17976000</v>
      </c>
      <c r="G172" s="321">
        <f>'Office Minor'!G251</f>
        <v>3866038</v>
      </c>
      <c r="H172" s="321">
        <f>'Office Minor'!H251</f>
        <v>40</v>
      </c>
      <c r="I172" s="523"/>
      <c r="J172" s="342">
        <f t="shared" si="37"/>
        <v>200</v>
      </c>
      <c r="K172" s="707" t="s">
        <v>50</v>
      </c>
      <c r="L172" s="707">
        <f>L171+L170</f>
        <v>2</v>
      </c>
      <c r="M172" s="707">
        <f t="shared" ref="M172:Q172" si="38">M171+M170</f>
        <v>2</v>
      </c>
      <c r="N172" s="707">
        <f t="shared" si="38"/>
        <v>663856</v>
      </c>
      <c r="O172" s="707">
        <f t="shared" si="38"/>
        <v>697152198</v>
      </c>
      <c r="P172" s="707">
        <f t="shared" si="38"/>
        <v>26402685</v>
      </c>
      <c r="Q172" s="707">
        <f t="shared" si="38"/>
        <v>300</v>
      </c>
      <c r="R172" s="707"/>
      <c r="S172" s="707"/>
    </row>
    <row r="173" spans="1:19" s="334" customFormat="1" x14ac:dyDescent="0.25">
      <c r="A173" s="316">
        <v>8</v>
      </c>
      <c r="B173" s="320" t="s">
        <v>204</v>
      </c>
      <c r="C173" s="321">
        <f>'Office Minor'!C547</f>
        <v>1</v>
      </c>
      <c r="D173" s="321">
        <f>'Office Minor'!D547</f>
        <v>0.42</v>
      </c>
      <c r="E173" s="321">
        <f>'Office Minor'!E547</f>
        <v>3457</v>
      </c>
      <c r="F173" s="321">
        <f>'Office Minor'!F547</f>
        <v>3457440</v>
      </c>
      <c r="G173" s="321">
        <f>'Office Minor'!G547</f>
        <v>30870</v>
      </c>
      <c r="H173" s="321">
        <f>'Office Minor'!H547</f>
        <v>0</v>
      </c>
      <c r="I173" s="523"/>
      <c r="J173" s="342">
        <f t="shared" si="37"/>
        <v>1000.1272779866937</v>
      </c>
      <c r="K173" s="334" t="s">
        <v>593</v>
      </c>
      <c r="L173" s="334">
        <f>'Office Minor'!C246+'Office Minor'!C550</f>
        <v>37</v>
      </c>
      <c r="M173" s="334">
        <f>'Office Minor'!D246+'Office Minor'!D550</f>
        <v>42.370000000000005</v>
      </c>
      <c r="N173" s="334">
        <f>'Office Minor'!E246+'Office Minor'!E550</f>
        <v>271295</v>
      </c>
      <c r="O173" s="334">
        <f>'Office Minor'!F246+'Office Minor'!F550</f>
        <v>58198350</v>
      </c>
      <c r="P173" s="334">
        <f>'Office Minor'!G246+'Office Minor'!G550</f>
        <v>10199424</v>
      </c>
      <c r="Q173" s="334">
        <f>'Office Minor'!H246+'Office Minor'!H550</f>
        <v>55</v>
      </c>
    </row>
    <row r="174" spans="1:19" s="334" customFormat="1" x14ac:dyDescent="0.25">
      <c r="A174" s="316">
        <v>9</v>
      </c>
      <c r="B174" s="320" t="str">
        <f>'Office Minor'!B250</f>
        <v>Granite</v>
      </c>
      <c r="C174" s="320">
        <f>'Office Minor'!C250+'Office Minor'!C552</f>
        <v>5</v>
      </c>
      <c r="D174" s="320">
        <f>'Office Minor'!D250+'Office Minor'!D552</f>
        <v>11.57</v>
      </c>
      <c r="E174" s="320">
        <f>'Office Minor'!E250+'Office Minor'!E552</f>
        <v>1827.4193548387098</v>
      </c>
      <c r="F174" s="320">
        <f>'Office Minor'!F250+'Office Minor'!F552</f>
        <v>3928951.6129032262</v>
      </c>
      <c r="G174" s="320">
        <f>'Office Minor'!G250+'Office Minor'!G552</f>
        <v>566500</v>
      </c>
      <c r="H174" s="320">
        <f>'Office Minor'!H250+'Office Minor'!H552</f>
        <v>35</v>
      </c>
      <c r="I174" s="523"/>
      <c r="J174" s="342"/>
      <c r="K174" s="334" t="s">
        <v>595</v>
      </c>
      <c r="L174" s="762"/>
      <c r="M174" s="762"/>
      <c r="N174" s="762"/>
      <c r="O174" s="762"/>
      <c r="P174" s="762"/>
      <c r="Q174" s="762"/>
    </row>
    <row r="175" spans="1:19" s="334" customFormat="1" ht="17.100000000000001" customHeight="1" x14ac:dyDescent="0.25">
      <c r="A175" s="316">
        <v>10</v>
      </c>
      <c r="B175" s="320" t="s">
        <v>65</v>
      </c>
      <c r="C175" s="321">
        <f>'Office Minor'!C252</f>
        <v>0</v>
      </c>
      <c r="D175" s="321">
        <f>'Office Minor'!D252</f>
        <v>0</v>
      </c>
      <c r="E175" s="321">
        <f>'Office Minor'!E252</f>
        <v>148794</v>
      </c>
      <c r="F175" s="321">
        <f>'Office Minor'!F252</f>
        <v>4166232</v>
      </c>
      <c r="G175" s="321">
        <f>'Office Minor'!G252</f>
        <v>15954867</v>
      </c>
      <c r="H175" s="321">
        <f>'Office Minor'!H252</f>
        <v>50</v>
      </c>
      <c r="I175" s="523"/>
      <c r="J175" s="342">
        <f t="shared" si="37"/>
        <v>28</v>
      </c>
      <c r="K175" s="707" t="s">
        <v>50</v>
      </c>
      <c r="L175" s="707">
        <f>L174+L173</f>
        <v>37</v>
      </c>
      <c r="M175" s="707">
        <f t="shared" ref="M175:Q175" si="39">M174+M173</f>
        <v>42.370000000000005</v>
      </c>
      <c r="N175" s="707">
        <f t="shared" si="39"/>
        <v>271295</v>
      </c>
      <c r="O175" s="707">
        <f t="shared" si="39"/>
        <v>58198350</v>
      </c>
      <c r="P175" s="707">
        <f t="shared" si="39"/>
        <v>10199424</v>
      </c>
      <c r="Q175" s="707">
        <f t="shared" si="39"/>
        <v>55</v>
      </c>
    </row>
    <row r="176" spans="1:19" s="334" customFormat="1" ht="17.100000000000001" customHeight="1" x14ac:dyDescent="0.25">
      <c r="A176" s="316">
        <v>11</v>
      </c>
      <c r="B176" s="320" t="s">
        <v>74</v>
      </c>
      <c r="C176" s="321">
        <f>'Office Minor'!C253</f>
        <v>0</v>
      </c>
      <c r="D176" s="321">
        <f>'Office Minor'!D253</f>
        <v>0</v>
      </c>
      <c r="E176" s="321">
        <f>'Office Minor'!E253</f>
        <v>0</v>
      </c>
      <c r="F176" s="321">
        <f>'Office Minor'!F253</f>
        <v>0</v>
      </c>
      <c r="G176" s="321">
        <f>'Office Minor'!G253</f>
        <v>0</v>
      </c>
      <c r="H176" s="321">
        <f>'Office Minor'!H253</f>
        <v>0</v>
      </c>
      <c r="I176" s="523"/>
      <c r="J176" s="342" t="e">
        <f t="shared" si="37"/>
        <v>#DIV/0!</v>
      </c>
      <c r="K176" s="334" t="s">
        <v>596</v>
      </c>
      <c r="L176" s="334">
        <f>'Office Minor'!C554+'Office Minor'!C247</f>
        <v>8</v>
      </c>
      <c r="M176" s="334">
        <f>'Office Minor'!D554+'Office Minor'!D247</f>
        <v>1499.6499999999999</v>
      </c>
      <c r="N176" s="334">
        <f>'Office Minor'!E554+'Office Minor'!E247</f>
        <v>461020</v>
      </c>
      <c r="O176" s="334">
        <f>'Office Minor'!F554+'Office Minor'!F247</f>
        <v>253561000</v>
      </c>
      <c r="P176" s="334">
        <f>'Office Minor'!G554+'Office Minor'!G247</f>
        <v>50865402</v>
      </c>
      <c r="Q176" s="334">
        <f>'Office Minor'!H554+'Office Minor'!H247</f>
        <v>77</v>
      </c>
    </row>
    <row r="177" spans="1:17" s="334" customFormat="1" ht="17.100000000000001" customHeight="1" x14ac:dyDescent="0.25">
      <c r="A177" s="316">
        <v>12</v>
      </c>
      <c r="B177" s="320" t="s">
        <v>194</v>
      </c>
      <c r="C177" s="321">
        <f>'Office Minor'!C254</f>
        <v>0</v>
      </c>
      <c r="D177" s="321">
        <f>'Office Minor'!D254</f>
        <v>0</v>
      </c>
      <c r="E177" s="321">
        <f>'Office Minor'!E254</f>
        <v>0</v>
      </c>
      <c r="F177" s="321">
        <f>'Office Minor'!F254</f>
        <v>0</v>
      </c>
      <c r="G177" s="321">
        <f>'Office Minor'!G254</f>
        <v>0</v>
      </c>
      <c r="H177" s="321">
        <f>'Office Minor'!H254</f>
        <v>0</v>
      </c>
      <c r="I177" s="523"/>
      <c r="J177" s="342" t="e">
        <f t="shared" si="37"/>
        <v>#DIV/0!</v>
      </c>
      <c r="K177" s="334" t="s">
        <v>274</v>
      </c>
      <c r="L177" s="423">
        <v>0</v>
      </c>
      <c r="M177" s="423">
        <v>0</v>
      </c>
      <c r="N177" s="423">
        <v>0</v>
      </c>
      <c r="O177" s="423">
        <v>0</v>
      </c>
      <c r="P177" s="423">
        <v>0</v>
      </c>
      <c r="Q177" s="423">
        <v>0</v>
      </c>
    </row>
    <row r="178" spans="1:17" s="334" customFormat="1" ht="17.100000000000001" customHeight="1" x14ac:dyDescent="0.25">
      <c r="A178" s="316">
        <v>13</v>
      </c>
      <c r="B178" s="320" t="s">
        <v>188</v>
      </c>
      <c r="C178" s="321">
        <f>'Office Minor'!C255</f>
        <v>0</v>
      </c>
      <c r="D178" s="321">
        <f>'Office Minor'!D255</f>
        <v>0</v>
      </c>
      <c r="E178" s="321">
        <f>'Office Minor'!E255</f>
        <v>0</v>
      </c>
      <c r="F178" s="321">
        <f>'Office Minor'!F255</f>
        <v>0</v>
      </c>
      <c r="G178" s="321">
        <f>'Office Minor'!G255</f>
        <v>0</v>
      </c>
      <c r="H178" s="321">
        <f>'Office Minor'!H255</f>
        <v>0</v>
      </c>
      <c r="I178" s="523"/>
      <c r="J178" s="342" t="e">
        <f t="shared" si="37"/>
        <v>#DIV/0!</v>
      </c>
      <c r="K178" s="707" t="s">
        <v>50</v>
      </c>
      <c r="L178" s="707">
        <f>L177+L176</f>
        <v>8</v>
      </c>
      <c r="M178" s="707">
        <f t="shared" ref="M178" si="40">M177+M176</f>
        <v>1499.6499999999999</v>
      </c>
      <c r="N178" s="707">
        <f t="shared" ref="N178" si="41">N177+N176</f>
        <v>461020</v>
      </c>
      <c r="O178" s="707">
        <f t="shared" ref="O178" si="42">O177+O176</f>
        <v>253561000</v>
      </c>
      <c r="P178" s="707">
        <f t="shared" ref="P178" si="43">P177+P176</f>
        <v>50865402</v>
      </c>
      <c r="Q178" s="707">
        <f t="shared" ref="Q178" si="44">Q177+Q176</f>
        <v>77</v>
      </c>
    </row>
    <row r="179" spans="1:17" s="334" customFormat="1" ht="17.100000000000001" customHeight="1" x14ac:dyDescent="0.25">
      <c r="A179" s="316">
        <v>15</v>
      </c>
      <c r="B179" s="320" t="s">
        <v>62</v>
      </c>
      <c r="C179" s="321">
        <f>'Office Minor'!C256+'Office Minor'!C551</f>
        <v>13</v>
      </c>
      <c r="D179" s="321">
        <f>'Office Minor'!D256+'Office Minor'!D551</f>
        <v>46.39</v>
      </c>
      <c r="E179" s="321">
        <f>'Office Minor'!E256+'Office Minor'!E551</f>
        <v>9441</v>
      </c>
      <c r="F179" s="321">
        <f>'Office Minor'!F256+'Office Minor'!F551</f>
        <v>17465979</v>
      </c>
      <c r="G179" s="321">
        <f>'Office Minor'!G256+'Office Minor'!G551</f>
        <v>7064987</v>
      </c>
      <c r="H179" s="321">
        <f>'Office Minor'!H256+'Office Minor'!H551</f>
        <v>380</v>
      </c>
      <c r="I179" s="523"/>
      <c r="J179" s="342">
        <f t="shared" si="37"/>
        <v>1850.0136638068002</v>
      </c>
    </row>
    <row r="180" spans="1:17" s="334" customFormat="1" ht="17.100000000000001" customHeight="1" x14ac:dyDescent="0.25">
      <c r="A180" s="316">
        <v>16</v>
      </c>
      <c r="B180" s="320" t="s">
        <v>44</v>
      </c>
      <c r="C180" s="321">
        <f>'Office Minor'!C257</f>
        <v>5</v>
      </c>
      <c r="D180" s="321">
        <f>'Office Minor'!D257</f>
        <v>100</v>
      </c>
      <c r="E180" s="321">
        <f>'Office Minor'!E257</f>
        <v>254</v>
      </c>
      <c r="F180" s="321">
        <f>'Office Minor'!F257</f>
        <v>127000</v>
      </c>
      <c r="G180" s="321">
        <f>'Office Minor'!G257</f>
        <v>62577192</v>
      </c>
      <c r="H180" s="321">
        <f>'Office Minor'!H257</f>
        <v>107</v>
      </c>
      <c r="I180" s="523"/>
      <c r="J180" s="342">
        <f t="shared" si="37"/>
        <v>500</v>
      </c>
    </row>
    <row r="181" spans="1:17" s="334" customFormat="1" ht="17.100000000000001" customHeight="1" x14ac:dyDescent="0.25">
      <c r="A181" s="316">
        <v>17</v>
      </c>
      <c r="B181" s="886" t="s">
        <v>26</v>
      </c>
      <c r="C181" s="321">
        <f>'Office Minor'!C258+'Office Minor'!C556</f>
        <v>36</v>
      </c>
      <c r="D181" s="321">
        <f>'Office Minor'!D258+'Office Minor'!D556</f>
        <v>289.81900000000002</v>
      </c>
      <c r="E181" s="321">
        <f>'Office Minor'!E258+'Office Minor'!E556</f>
        <v>861501</v>
      </c>
      <c r="F181" s="321">
        <f>'Office Minor'!F258+'Office Minor'!F556</f>
        <v>388832108</v>
      </c>
      <c r="G181" s="321">
        <f>'Office Minor'!G258+'Office Minor'!G556</f>
        <v>37706443</v>
      </c>
      <c r="H181" s="321">
        <f>'Office Minor'!H258+'Office Minor'!H556</f>
        <v>1200</v>
      </c>
      <c r="I181" s="523"/>
      <c r="J181" s="342">
        <f t="shared" si="37"/>
        <v>451.34260784375175</v>
      </c>
    </row>
    <row r="182" spans="1:17" s="334" customFormat="1" ht="17.100000000000001" customHeight="1" x14ac:dyDescent="0.25">
      <c r="A182" s="316">
        <v>18</v>
      </c>
      <c r="B182" s="322" t="s">
        <v>164</v>
      </c>
      <c r="C182" s="321">
        <f>'Office Minor'!C259+'Office Minor'!C555</f>
        <v>56</v>
      </c>
      <c r="D182" s="321">
        <f>'Office Minor'!D259+'Office Minor'!D555</f>
        <v>524.06999999999994</v>
      </c>
      <c r="E182" s="321">
        <f>'Office Minor'!E259+'Office Minor'!E555</f>
        <v>1199819</v>
      </c>
      <c r="F182" s="321">
        <f>'Office Minor'!F259+'Office Minor'!F555</f>
        <v>311952940</v>
      </c>
      <c r="G182" s="321">
        <f>'Office Minor'!G259+'Office Minor'!G555</f>
        <v>50387156</v>
      </c>
      <c r="H182" s="321">
        <f>'Office Minor'!H259+'Office Minor'!H555</f>
        <v>2500</v>
      </c>
      <c r="I182" s="523"/>
      <c r="J182" s="342">
        <f t="shared" si="37"/>
        <v>260</v>
      </c>
    </row>
    <row r="183" spans="1:17" s="334" customFormat="1" ht="17.100000000000001" customHeight="1" x14ac:dyDescent="0.25">
      <c r="A183" s="316">
        <v>19</v>
      </c>
      <c r="B183" s="862" t="s">
        <v>40</v>
      </c>
      <c r="C183" s="321">
        <f>'Office Minor'!C261+'Office Minor'!C557</f>
        <v>24</v>
      </c>
      <c r="D183" s="321">
        <f>'Office Minor'!D261+'Office Minor'!D557</f>
        <v>95</v>
      </c>
      <c r="E183" s="321">
        <f>'Office Minor'!E261+'Office Minor'!E557</f>
        <v>90898.44</v>
      </c>
      <c r="F183" s="321">
        <f>'Office Minor'!F261+'Office Minor'!F557</f>
        <v>54452665.600000001</v>
      </c>
      <c r="G183" s="321">
        <f>'Office Minor'!G261+'Office Minor'!G557</f>
        <v>13294617</v>
      </c>
      <c r="H183" s="321">
        <f>'Office Minor'!H261+'Office Minor'!H557</f>
        <v>313</v>
      </c>
      <c r="I183" s="523"/>
      <c r="J183" s="342">
        <f t="shared" si="37"/>
        <v>599.04950624015112</v>
      </c>
    </row>
    <row r="184" spans="1:17" s="334" customFormat="1" ht="17.100000000000001" customHeight="1" x14ac:dyDescent="0.25">
      <c r="A184" s="316">
        <v>20</v>
      </c>
      <c r="B184" s="862" t="str">
        <f>'Office Minor'!B260</f>
        <v>Quartzite</v>
      </c>
      <c r="C184" s="862">
        <f>'Office Minor'!C260</f>
        <v>2</v>
      </c>
      <c r="D184" s="862">
        <f>'Office Minor'!D260</f>
        <v>20.707699999999999</v>
      </c>
      <c r="E184" s="862">
        <f>'Office Minor'!E260</f>
        <v>571</v>
      </c>
      <c r="F184" s="862">
        <f>'Office Minor'!F260</f>
        <v>142750</v>
      </c>
      <c r="G184" s="862">
        <f>'Office Minor'!G260</f>
        <v>45680</v>
      </c>
      <c r="H184" s="862">
        <f>'Office Minor'!H260</f>
        <v>0</v>
      </c>
      <c r="I184" s="523"/>
      <c r="J184" s="342"/>
    </row>
    <row r="185" spans="1:17" s="334" customFormat="1" ht="17.100000000000001" customHeight="1" x14ac:dyDescent="0.25">
      <c r="A185" s="316">
        <v>21</v>
      </c>
      <c r="B185" s="862" t="s">
        <v>41</v>
      </c>
      <c r="C185" s="321">
        <f>'Office Minor'!C262</f>
        <v>10</v>
      </c>
      <c r="D185" s="321">
        <f>'Office Minor'!D262</f>
        <v>29.3</v>
      </c>
      <c r="E185" s="321">
        <f>'Office Minor'!E262</f>
        <v>128263</v>
      </c>
      <c r="F185" s="321">
        <f>'Office Minor'!F262</f>
        <v>57718350</v>
      </c>
      <c r="G185" s="321">
        <f>'Office Minor'!G262</f>
        <v>0</v>
      </c>
      <c r="H185" s="321">
        <f>'Office Minor'!H262</f>
        <v>0</v>
      </c>
      <c r="I185" s="523"/>
      <c r="J185" s="342">
        <f t="shared" si="37"/>
        <v>450</v>
      </c>
    </row>
    <row r="186" spans="1:17" s="334" customFormat="1" ht="17.100000000000001" customHeight="1" x14ac:dyDescent="0.25">
      <c r="A186" s="324"/>
      <c r="B186" s="320" t="s">
        <v>75</v>
      </c>
      <c r="C186" s="321">
        <f>'Office Minor'!C558+'Office Minor'!C263</f>
        <v>0</v>
      </c>
      <c r="D186" s="321">
        <f>'Office Minor'!D558+'Office Minor'!D263</f>
        <v>0</v>
      </c>
      <c r="E186" s="321">
        <f>'Office Minor'!E558+'Office Minor'!E263</f>
        <v>0</v>
      </c>
      <c r="F186" s="321">
        <f>'Office Minor'!F558+'Office Minor'!F263</f>
        <v>0</v>
      </c>
      <c r="G186" s="321">
        <f>'Office Minor'!G558+'Office Minor'!G263</f>
        <v>59915948</v>
      </c>
      <c r="H186" s="321">
        <f>'Office Minor'!H558+'Office Minor'!H263</f>
        <v>0</v>
      </c>
      <c r="I186" s="523"/>
      <c r="J186" s="342"/>
      <c r="L186" s="334" t="s">
        <v>493</v>
      </c>
      <c r="M186" s="334" t="s">
        <v>502</v>
      </c>
    </row>
    <row r="187" spans="1:17" s="334" customFormat="1" ht="17.100000000000001" customHeight="1" x14ac:dyDescent="0.25">
      <c r="A187" s="324"/>
      <c r="B187" s="320" t="s">
        <v>49</v>
      </c>
      <c r="C187" s="321">
        <f>'Office Minor'!C559+'Office Minor'!C264</f>
        <v>0</v>
      </c>
      <c r="D187" s="321">
        <f>'Office Minor'!D559+'Office Minor'!D264</f>
        <v>0</v>
      </c>
      <c r="E187" s="321">
        <f>'Office Minor'!E559+'Office Minor'!E264</f>
        <v>0</v>
      </c>
      <c r="F187" s="321">
        <f>'Office Minor'!F559+'Office Minor'!F264</f>
        <v>0</v>
      </c>
      <c r="G187" s="321">
        <f>'Office Minor'!G559+'Office Minor'!G264</f>
        <v>125716571</v>
      </c>
      <c r="H187" s="321">
        <f>'Office Minor'!H559+'Office Minor'!H264</f>
        <v>0</v>
      </c>
      <c r="I187" s="523"/>
      <c r="J187" s="342"/>
      <c r="K187" s="334" t="s">
        <v>503</v>
      </c>
      <c r="L187" s="342">
        <f>'Office Minor'!G263+'Office Minor'!G558</f>
        <v>59915948</v>
      </c>
      <c r="M187" s="342">
        <f>'Office Minor'!G559+'Office Minor'!G264</f>
        <v>125716571</v>
      </c>
      <c r="N187" s="342"/>
    </row>
    <row r="188" spans="1:17" s="334" customFormat="1" ht="17.100000000000001" customHeight="1" x14ac:dyDescent="0.25">
      <c r="A188" s="1231" t="s">
        <v>50</v>
      </c>
      <c r="B188" s="1232"/>
      <c r="C188" s="497">
        <f t="shared" ref="C188:H188" si="45">SUM(C166:C187)</f>
        <v>199</v>
      </c>
      <c r="D188" s="498">
        <f t="shared" si="45"/>
        <v>2779.2966999999999</v>
      </c>
      <c r="E188" s="497">
        <f t="shared" si="45"/>
        <v>4671475.429354839</v>
      </c>
      <c r="F188" s="497">
        <f t="shared" si="45"/>
        <v>2353919997.212903</v>
      </c>
      <c r="G188" s="497">
        <f>SUM(G166:G187)</f>
        <v>583940169</v>
      </c>
      <c r="H188" s="497">
        <f t="shared" si="45"/>
        <v>7127</v>
      </c>
      <c r="I188" s="524">
        <f>G188+Distt.Major!G71</f>
        <v>3658632601</v>
      </c>
      <c r="J188" s="342"/>
      <c r="K188" s="334" t="s">
        <v>274</v>
      </c>
    </row>
    <row r="189" spans="1:17" s="334" customFormat="1" ht="17.100000000000001" customHeight="1" x14ac:dyDescent="0.25">
      <c r="A189" s="513"/>
      <c r="B189" s="513"/>
      <c r="C189" s="513"/>
      <c r="D189" s="513"/>
      <c r="E189" s="513"/>
      <c r="F189" s="513"/>
      <c r="G189" s="513"/>
      <c r="H189" s="513"/>
      <c r="I189" s="523"/>
      <c r="J189" s="342"/>
      <c r="L189" s="379">
        <f>L187+L188</f>
        <v>59915948</v>
      </c>
      <c r="M189" s="379">
        <f>M187+M188</f>
        <v>125716571</v>
      </c>
    </row>
    <row r="190" spans="1:17" s="334" customFormat="1" ht="17.100000000000001" customHeight="1" x14ac:dyDescent="0.25">
      <c r="A190" s="1264" t="s">
        <v>284</v>
      </c>
      <c r="B190" s="1264"/>
      <c r="C190" s="1264"/>
      <c r="D190" s="1264"/>
      <c r="E190" s="1264"/>
      <c r="F190" s="1264"/>
      <c r="G190" s="1264"/>
      <c r="H190" s="1264"/>
      <c r="I190" s="523"/>
      <c r="J190" s="342"/>
    </row>
    <row r="191" spans="1:17" s="334" customFormat="1" ht="17.100000000000001" customHeight="1" x14ac:dyDescent="0.25">
      <c r="A191" s="1225" t="s">
        <v>182</v>
      </c>
      <c r="B191" s="1225" t="s">
        <v>3</v>
      </c>
      <c r="C191" s="1225" t="s">
        <v>4</v>
      </c>
      <c r="D191" s="834" t="s">
        <v>5</v>
      </c>
      <c r="E191" s="68" t="s">
        <v>6</v>
      </c>
      <c r="F191" s="833" t="s">
        <v>7</v>
      </c>
      <c r="G191" s="833" t="s">
        <v>8</v>
      </c>
      <c r="H191" s="68" t="s">
        <v>9</v>
      </c>
      <c r="I191" s="523"/>
      <c r="J191" s="342"/>
    </row>
    <row r="192" spans="1:17" s="334" customFormat="1" ht="17.100000000000001" customHeight="1" x14ac:dyDescent="0.25">
      <c r="A192" s="1230"/>
      <c r="B192" s="1230"/>
      <c r="C192" s="1230"/>
      <c r="D192" s="864" t="s">
        <v>78</v>
      </c>
      <c r="E192" s="75" t="s">
        <v>79</v>
      </c>
      <c r="F192" s="865" t="s">
        <v>80</v>
      </c>
      <c r="G192" s="865" t="s">
        <v>80</v>
      </c>
      <c r="H192" s="75" t="s">
        <v>13</v>
      </c>
      <c r="I192" s="523"/>
      <c r="J192" s="342"/>
    </row>
    <row r="193" spans="1:10" s="334" customFormat="1" ht="17.100000000000001" customHeight="1" x14ac:dyDescent="0.25">
      <c r="A193" s="316">
        <v>1</v>
      </c>
      <c r="B193" s="320" t="s">
        <v>62</v>
      </c>
      <c r="C193" s="320">
        <f>'Office Minor'!C232</f>
        <v>14</v>
      </c>
      <c r="D193" s="320">
        <f>'Office Minor'!D232</f>
        <v>33.17</v>
      </c>
      <c r="E193" s="320">
        <f>'Office Minor'!E232</f>
        <v>8447</v>
      </c>
      <c r="F193" s="320">
        <f>'Office Minor'!F232</f>
        <v>16049775</v>
      </c>
      <c r="G193" s="320">
        <f>'Office Minor'!G232</f>
        <v>5330692</v>
      </c>
      <c r="H193" s="320">
        <f>'Office Minor'!H232</f>
        <v>15</v>
      </c>
      <c r="I193" s="523"/>
      <c r="J193" s="342">
        <f>F193/E193</f>
        <v>1900.0562329821239</v>
      </c>
    </row>
    <row r="194" spans="1:10" s="334" customFormat="1" ht="17.100000000000001" customHeight="1" x14ac:dyDescent="0.25">
      <c r="A194" s="316">
        <v>2</v>
      </c>
      <c r="B194" s="320" t="s">
        <v>63</v>
      </c>
      <c r="C194" s="320">
        <f>'Office Minor'!C233</f>
        <v>161</v>
      </c>
      <c r="D194" s="320">
        <f>'Office Minor'!D233</f>
        <v>179.51</v>
      </c>
      <c r="E194" s="320">
        <f>'Office Minor'!E233</f>
        <v>7686162</v>
      </c>
      <c r="F194" s="320">
        <f>'Office Minor'!F233</f>
        <v>1383509270</v>
      </c>
      <c r="G194" s="320">
        <f>'Office Minor'!G233</f>
        <v>436037862</v>
      </c>
      <c r="H194" s="320">
        <f>'Office Minor'!H233</f>
        <v>540</v>
      </c>
      <c r="I194" s="523"/>
      <c r="J194" s="342">
        <f t="shared" ref="J194:J226" si="46">F194/E194</f>
        <v>180.00001431143397</v>
      </c>
    </row>
    <row r="195" spans="1:10" s="334" customFormat="1" ht="17.100000000000001" customHeight="1" x14ac:dyDescent="0.25">
      <c r="A195" s="316">
        <v>3</v>
      </c>
      <c r="B195" s="320" t="s">
        <v>54</v>
      </c>
      <c r="C195" s="320">
        <f>'Office Minor'!C234</f>
        <v>4</v>
      </c>
      <c r="D195" s="320">
        <f>'Office Minor'!D234</f>
        <v>3.01</v>
      </c>
      <c r="E195" s="320">
        <f>'Office Minor'!E234</f>
        <v>358070</v>
      </c>
      <c r="F195" s="320">
        <f>'Office Minor'!F234</f>
        <v>89517500</v>
      </c>
      <c r="G195" s="320">
        <f>'Office Minor'!G234</f>
        <v>13337595</v>
      </c>
      <c r="H195" s="320">
        <f>'Office Minor'!H234</f>
        <v>150</v>
      </c>
      <c r="I195" s="523"/>
      <c r="J195" s="342">
        <f t="shared" si="46"/>
        <v>250</v>
      </c>
    </row>
    <row r="196" spans="1:10" s="334" customFormat="1" ht="17.100000000000001" customHeight="1" x14ac:dyDescent="0.25">
      <c r="A196" s="316">
        <v>4</v>
      </c>
      <c r="B196" s="320" t="s">
        <v>71</v>
      </c>
      <c r="C196" s="320">
        <f>'Office Minor'!C235</f>
        <v>0</v>
      </c>
      <c r="D196" s="320">
        <f>'Office Minor'!D235</f>
        <v>0</v>
      </c>
      <c r="E196" s="320">
        <f>'Office Minor'!E235</f>
        <v>11389</v>
      </c>
      <c r="F196" s="320">
        <f>'Office Minor'!F235</f>
        <v>9111200</v>
      </c>
      <c r="G196" s="320">
        <f>'Office Minor'!G235</f>
        <v>3169357</v>
      </c>
      <c r="H196" s="320">
        <f>'Office Minor'!H235</f>
        <v>15</v>
      </c>
      <c r="I196" s="523"/>
      <c r="J196" s="342">
        <f>F196/E196</f>
        <v>800</v>
      </c>
    </row>
    <row r="197" spans="1:10" s="334" customFormat="1" ht="17.100000000000001" customHeight="1" x14ac:dyDescent="0.25">
      <c r="A197" s="316">
        <v>5</v>
      </c>
      <c r="B197" s="317" t="s">
        <v>31</v>
      </c>
      <c r="C197" s="320">
        <f>'Office Minor'!C236</f>
        <v>0</v>
      </c>
      <c r="D197" s="320">
        <f>'Office Minor'!D236</f>
        <v>0</v>
      </c>
      <c r="E197" s="320">
        <f>'Office Minor'!E236</f>
        <v>170052</v>
      </c>
      <c r="F197" s="320">
        <f>'Office Minor'!F236</f>
        <v>102031512</v>
      </c>
      <c r="G197" s="320">
        <f>'Office Minor'!G236</f>
        <v>12638400</v>
      </c>
      <c r="H197" s="320">
        <f>'Office Minor'!H236</f>
        <v>15</v>
      </c>
      <c r="I197" s="523"/>
      <c r="J197" s="342"/>
    </row>
    <row r="198" spans="1:10" s="334" customFormat="1" ht="17.100000000000001" customHeight="1" x14ac:dyDescent="0.25">
      <c r="A198" s="316"/>
      <c r="B198" s="320" t="s">
        <v>75</v>
      </c>
      <c r="C198" s="320"/>
      <c r="D198" s="320"/>
      <c r="E198" s="320"/>
      <c r="F198" s="320"/>
      <c r="G198" s="320">
        <f>'Office Minor'!G237</f>
        <v>7789551</v>
      </c>
      <c r="H198" s="320"/>
      <c r="I198" s="523"/>
      <c r="J198" s="342"/>
    </row>
    <row r="199" spans="1:10" s="334" customFormat="1" ht="17.100000000000001" customHeight="1" x14ac:dyDescent="0.25">
      <c r="A199" s="316"/>
      <c r="B199" s="320" t="s">
        <v>49</v>
      </c>
      <c r="C199" s="320"/>
      <c r="D199" s="320"/>
      <c r="E199" s="320"/>
      <c r="F199" s="320"/>
      <c r="G199" s="320">
        <f>'Office Minor'!G238</f>
        <v>0</v>
      </c>
      <c r="H199" s="320"/>
      <c r="I199" s="523"/>
      <c r="J199" s="342"/>
    </row>
    <row r="200" spans="1:10" s="334" customFormat="1" ht="17.100000000000001" customHeight="1" x14ac:dyDescent="0.25">
      <c r="A200" s="1231" t="s">
        <v>50</v>
      </c>
      <c r="B200" s="1232"/>
      <c r="C200" s="514">
        <f t="shared" ref="C200:H200" si="47">SUM(C193:C199)</f>
        <v>179</v>
      </c>
      <c r="D200" s="515">
        <f t="shared" si="47"/>
        <v>215.69</v>
      </c>
      <c r="E200" s="514">
        <f t="shared" si="47"/>
        <v>8234120</v>
      </c>
      <c r="F200" s="516">
        <f t="shared" si="47"/>
        <v>1600219257</v>
      </c>
      <c r="G200" s="516">
        <f t="shared" si="47"/>
        <v>478303457</v>
      </c>
      <c r="H200" s="888">
        <f t="shared" si="47"/>
        <v>735</v>
      </c>
      <c r="I200" s="524">
        <f>G200</f>
        <v>478303457</v>
      </c>
      <c r="J200" s="342"/>
    </row>
    <row r="201" spans="1:10" s="334" customFormat="1" ht="17.100000000000001" customHeight="1" x14ac:dyDescent="0.25">
      <c r="A201" s="513"/>
      <c r="B201" s="513"/>
      <c r="C201" s="513"/>
      <c r="D201" s="513"/>
      <c r="E201" s="513"/>
      <c r="F201" s="513"/>
      <c r="G201" s="513"/>
      <c r="H201" s="513"/>
      <c r="I201" s="523"/>
      <c r="J201" s="342"/>
    </row>
    <row r="202" spans="1:10" s="334" customFormat="1" ht="17.100000000000001" customHeight="1" x14ac:dyDescent="0.25">
      <c r="A202" s="1264" t="s">
        <v>249</v>
      </c>
      <c r="B202" s="1264"/>
      <c r="C202" s="1264"/>
      <c r="D202" s="1264"/>
      <c r="E202" s="1264"/>
      <c r="F202" s="1264"/>
      <c r="G202" s="1264"/>
      <c r="H202" s="1264"/>
      <c r="I202" s="523"/>
      <c r="J202" s="342"/>
    </row>
    <row r="203" spans="1:10" s="334" customFormat="1" ht="17.100000000000001" customHeight="1" x14ac:dyDescent="0.25">
      <c r="A203" s="1225" t="s">
        <v>182</v>
      </c>
      <c r="B203" s="1225" t="s">
        <v>3</v>
      </c>
      <c r="C203" s="1225" t="s">
        <v>4</v>
      </c>
      <c r="D203" s="834" t="s">
        <v>5</v>
      </c>
      <c r="E203" s="68" t="s">
        <v>6</v>
      </c>
      <c r="F203" s="833" t="s">
        <v>7</v>
      </c>
      <c r="G203" s="833" t="s">
        <v>8</v>
      </c>
      <c r="H203" s="68" t="s">
        <v>9</v>
      </c>
      <c r="I203" s="523"/>
      <c r="J203" s="342"/>
    </row>
    <row r="204" spans="1:10" s="334" customFormat="1" ht="17.100000000000001" customHeight="1" x14ac:dyDescent="0.25">
      <c r="A204" s="1230"/>
      <c r="B204" s="1230"/>
      <c r="C204" s="1245"/>
      <c r="D204" s="864" t="s">
        <v>78</v>
      </c>
      <c r="E204" s="864" t="s">
        <v>79</v>
      </c>
      <c r="F204" s="865" t="s">
        <v>80</v>
      </c>
      <c r="G204" s="865" t="s">
        <v>80</v>
      </c>
      <c r="H204" s="75" t="s">
        <v>13</v>
      </c>
      <c r="I204" s="523"/>
      <c r="J204" s="342"/>
    </row>
    <row r="205" spans="1:10" s="334" customFormat="1" ht="17.100000000000001" customHeight="1" x14ac:dyDescent="0.25">
      <c r="A205" s="316">
        <v>1</v>
      </c>
      <c r="B205" s="320" t="s">
        <v>196</v>
      </c>
      <c r="C205" s="331">
        <f>'Office Minor'!C271</f>
        <v>107</v>
      </c>
      <c r="D205" s="331">
        <f>'Office Minor'!D271</f>
        <v>231.85</v>
      </c>
      <c r="E205" s="331">
        <f>'Office Minor'!E271</f>
        <v>1749901</v>
      </c>
      <c r="F205" s="331">
        <f>'Office Minor'!F271</f>
        <v>332481190</v>
      </c>
      <c r="G205" s="331">
        <f>'Office Minor'!G271</f>
        <v>149435586</v>
      </c>
      <c r="H205" s="331">
        <f>'Office Minor'!H271</f>
        <v>340</v>
      </c>
      <c r="I205" s="523"/>
      <c r="J205" s="342">
        <f>F205/E205</f>
        <v>190</v>
      </c>
    </row>
    <row r="206" spans="1:10" s="334" customFormat="1" ht="17.100000000000001" customHeight="1" x14ac:dyDescent="0.25">
      <c r="A206" s="316">
        <v>2</v>
      </c>
      <c r="B206" s="320" t="s">
        <v>62</v>
      </c>
      <c r="C206" s="331">
        <f>'Office Minor'!C272</f>
        <v>2</v>
      </c>
      <c r="D206" s="331">
        <f>'Office Minor'!D272</f>
        <v>5.2957999999999998</v>
      </c>
      <c r="E206" s="331">
        <f>'Office Minor'!E272</f>
        <v>267</v>
      </c>
      <c r="F206" s="331">
        <f>'Office Minor'!F272</f>
        <v>493950</v>
      </c>
      <c r="G206" s="331">
        <f>'Office Minor'!G272</f>
        <v>568710</v>
      </c>
      <c r="H206" s="331">
        <f>'Office Minor'!H272</f>
        <v>5</v>
      </c>
      <c r="I206" s="523"/>
      <c r="J206" s="342">
        <f t="shared" ref="J206:J214" si="48">F206/E206</f>
        <v>1850</v>
      </c>
    </row>
    <row r="207" spans="1:10" s="334" customFormat="1" ht="17.100000000000001" customHeight="1" x14ac:dyDescent="0.25">
      <c r="A207" s="316">
        <v>3</v>
      </c>
      <c r="B207" s="319" t="s">
        <v>54</v>
      </c>
      <c r="C207" s="331">
        <f>'Office Minor'!C273</f>
        <v>0</v>
      </c>
      <c r="D207" s="331">
        <f>'Office Minor'!D273</f>
        <v>0</v>
      </c>
      <c r="E207" s="331">
        <f>'Office Minor'!E273</f>
        <v>227640</v>
      </c>
      <c r="F207" s="331">
        <f>'Office Minor'!F273</f>
        <v>50080800</v>
      </c>
      <c r="G207" s="331">
        <f>'Office Minor'!G273</f>
        <v>7284480</v>
      </c>
      <c r="H207" s="331">
        <f>'Office Minor'!H273</f>
        <v>150</v>
      </c>
      <c r="I207" s="523"/>
      <c r="J207" s="342">
        <f t="shared" si="48"/>
        <v>220</v>
      </c>
    </row>
    <row r="208" spans="1:10" s="334" customFormat="1" ht="17.100000000000001" customHeight="1" x14ac:dyDescent="0.25">
      <c r="A208" s="316">
        <v>4</v>
      </c>
      <c r="B208" s="320" t="s">
        <v>65</v>
      </c>
      <c r="C208" s="331">
        <f>'Office Minor'!C274</f>
        <v>0</v>
      </c>
      <c r="D208" s="331">
        <f>'Office Minor'!D274</f>
        <v>0</v>
      </c>
      <c r="E208" s="331">
        <f>'Office Minor'!E274</f>
        <v>3431006</v>
      </c>
      <c r="F208" s="331">
        <f>'Office Minor'!F274</f>
        <v>85775150</v>
      </c>
      <c r="G208" s="331">
        <f>'Office Minor'!G274</f>
        <v>22624619</v>
      </c>
      <c r="H208" s="331">
        <f>'Office Minor'!H274</f>
        <v>150</v>
      </c>
      <c r="I208" s="523"/>
      <c r="J208" s="342">
        <f t="shared" si="48"/>
        <v>25</v>
      </c>
    </row>
    <row r="209" spans="1:10" s="334" customFormat="1" ht="17.100000000000001" customHeight="1" x14ac:dyDescent="0.25">
      <c r="A209" s="316">
        <v>5</v>
      </c>
      <c r="B209" s="319" t="s">
        <v>59</v>
      </c>
      <c r="C209" s="331">
        <f>'Office Minor'!C275</f>
        <v>2</v>
      </c>
      <c r="D209" s="331">
        <f>'Office Minor'!D275</f>
        <v>2787</v>
      </c>
      <c r="E209" s="331">
        <f>'Office Minor'!E275</f>
        <v>11356</v>
      </c>
      <c r="F209" s="331">
        <f>'Office Minor'!F275</f>
        <v>8517000</v>
      </c>
      <c r="G209" s="331">
        <f>'Office Minor'!G275</f>
        <v>8123235</v>
      </c>
      <c r="H209" s="331">
        <f>'Office Minor'!H275</f>
        <v>100</v>
      </c>
      <c r="I209" s="523"/>
      <c r="J209" s="342">
        <f t="shared" si="48"/>
        <v>750</v>
      </c>
    </row>
    <row r="210" spans="1:10" s="334" customFormat="1" ht="17.100000000000001" customHeight="1" x14ac:dyDescent="0.25">
      <c r="A210" s="316">
        <v>6</v>
      </c>
      <c r="B210" s="319" t="s">
        <v>40</v>
      </c>
      <c r="C210" s="331">
        <f>'Office Minor'!C276</f>
        <v>2</v>
      </c>
      <c r="D210" s="331">
        <f>'Office Minor'!D276</f>
        <v>144.38999999999999</v>
      </c>
      <c r="E210" s="331">
        <f>'Office Minor'!E276</f>
        <v>41674</v>
      </c>
      <c r="F210" s="331">
        <f>'Office Minor'!F276</f>
        <v>25004400</v>
      </c>
      <c r="G210" s="331">
        <f>'Office Minor'!G276</f>
        <v>4065003</v>
      </c>
      <c r="H210" s="331">
        <f>'Office Minor'!H276</f>
        <v>8</v>
      </c>
      <c r="I210" s="523"/>
      <c r="J210" s="342">
        <f t="shared" si="48"/>
        <v>600</v>
      </c>
    </row>
    <row r="211" spans="1:10" s="334" customFormat="1" ht="17.100000000000001" customHeight="1" x14ac:dyDescent="0.25">
      <c r="A211" s="316">
        <v>7</v>
      </c>
      <c r="B211" s="319" t="str">
        <f>'Office Minor'!B277</f>
        <v>Quartzite</v>
      </c>
      <c r="C211" s="331">
        <f>'Office Minor'!C277</f>
        <v>0</v>
      </c>
      <c r="D211" s="331">
        <f>'Office Minor'!D277</f>
        <v>0</v>
      </c>
      <c r="E211" s="331">
        <f>'Office Minor'!E277</f>
        <v>0</v>
      </c>
      <c r="F211" s="331">
        <f>'Office Minor'!F277</f>
        <v>0</v>
      </c>
      <c r="G211" s="331">
        <f>'Office Minor'!G277</f>
        <v>0</v>
      </c>
      <c r="H211" s="331">
        <f>'Office Minor'!H277</f>
        <v>0</v>
      </c>
      <c r="I211" s="523"/>
      <c r="J211" s="342"/>
    </row>
    <row r="212" spans="1:10" s="334" customFormat="1" ht="17.100000000000001" customHeight="1" x14ac:dyDescent="0.25">
      <c r="A212" s="316">
        <v>8</v>
      </c>
      <c r="B212" s="319" t="str">
        <f>'Office Minor'!B278</f>
        <v>Sandstone</v>
      </c>
      <c r="C212" s="331">
        <f>'Office Minor'!C278</f>
        <v>0</v>
      </c>
      <c r="D212" s="331">
        <f>'Office Minor'!D278</f>
        <v>0</v>
      </c>
      <c r="E212" s="331">
        <f>'Office Minor'!E278</f>
        <v>0</v>
      </c>
      <c r="F212" s="331">
        <f>'Office Minor'!F278</f>
        <v>0</v>
      </c>
      <c r="G212" s="331">
        <f>'Office Minor'!G278</f>
        <v>0</v>
      </c>
      <c r="H212" s="331">
        <f>'Office Minor'!H278</f>
        <v>0</v>
      </c>
      <c r="I212" s="523"/>
      <c r="J212" s="342"/>
    </row>
    <row r="213" spans="1:10" s="334" customFormat="1" ht="17.100000000000001" customHeight="1" x14ac:dyDescent="0.25">
      <c r="A213" s="316">
        <v>9</v>
      </c>
      <c r="B213" s="319" t="s">
        <v>46</v>
      </c>
      <c r="C213" s="331">
        <f>'Office Minor'!C279</f>
        <v>4</v>
      </c>
      <c r="D213" s="331">
        <f>'Office Minor'!D279</f>
        <v>72.05</v>
      </c>
      <c r="E213" s="331">
        <f>'Office Minor'!E279</f>
        <v>0</v>
      </c>
      <c r="F213" s="331">
        <f>'Office Minor'!F279</f>
        <v>0</v>
      </c>
      <c r="G213" s="331">
        <f>'Office Minor'!G279</f>
        <v>0</v>
      </c>
      <c r="H213" s="331">
        <f>'Office Minor'!H279</f>
        <v>0</v>
      </c>
      <c r="I213" s="523"/>
      <c r="J213" s="342" t="e">
        <f t="shared" si="48"/>
        <v>#DIV/0!</v>
      </c>
    </row>
    <row r="214" spans="1:10" s="334" customFormat="1" ht="17.100000000000001" customHeight="1" x14ac:dyDescent="0.25">
      <c r="A214" s="316">
        <v>10</v>
      </c>
      <c r="B214" s="317" t="s">
        <v>44</v>
      </c>
      <c r="C214" s="331">
        <f>'Office Minor'!C280</f>
        <v>6</v>
      </c>
      <c r="D214" s="331">
        <f>'Office Minor'!D280</f>
        <v>115.15</v>
      </c>
      <c r="E214" s="331">
        <f>'Office Minor'!E280</f>
        <v>527111</v>
      </c>
      <c r="F214" s="331">
        <f>'Office Minor'!F280</f>
        <v>289911050</v>
      </c>
      <c r="G214" s="331">
        <f>'Office Minor'!G280</f>
        <v>48531485</v>
      </c>
      <c r="H214" s="331">
        <f>'Office Minor'!H280</f>
        <v>150</v>
      </c>
      <c r="I214" s="523"/>
      <c r="J214" s="342">
        <f t="shared" si="48"/>
        <v>550</v>
      </c>
    </row>
    <row r="215" spans="1:10" s="334" customFormat="1" ht="17.100000000000001" customHeight="1" x14ac:dyDescent="0.25">
      <c r="A215" s="316">
        <v>11</v>
      </c>
      <c r="B215" s="317" t="s">
        <v>194</v>
      </c>
      <c r="C215" s="331">
        <f>'Office Minor'!C281</f>
        <v>0</v>
      </c>
      <c r="D215" s="331">
        <f>'Office Minor'!D281</f>
        <v>0</v>
      </c>
      <c r="E215" s="331">
        <f>'Office Minor'!E281</f>
        <v>0</v>
      </c>
      <c r="F215" s="331">
        <f>'Office Minor'!F281</f>
        <v>0</v>
      </c>
      <c r="G215" s="331">
        <f>'Office Minor'!G281</f>
        <v>0</v>
      </c>
      <c r="H215" s="331">
        <f>'Office Minor'!H281</f>
        <v>0</v>
      </c>
      <c r="I215" s="523"/>
      <c r="J215" s="342"/>
    </row>
    <row r="216" spans="1:10" s="334" customFormat="1" ht="17.100000000000001" customHeight="1" x14ac:dyDescent="0.25">
      <c r="A216" s="316">
        <v>12</v>
      </c>
      <c r="B216" s="317" t="s">
        <v>53</v>
      </c>
      <c r="C216" s="331">
        <f>'Office Minor'!C282</f>
        <v>0</v>
      </c>
      <c r="D216" s="331">
        <f>'Office Minor'!D282</f>
        <v>0</v>
      </c>
      <c r="E216" s="331">
        <f>'Office Minor'!E282</f>
        <v>0</v>
      </c>
      <c r="F216" s="331">
        <f>'Office Minor'!F282</f>
        <v>0</v>
      </c>
      <c r="G216" s="331">
        <f>'Office Minor'!G282</f>
        <v>0</v>
      </c>
      <c r="H216" s="331">
        <f>'Office Minor'!H282</f>
        <v>0</v>
      </c>
      <c r="I216" s="523"/>
      <c r="J216" s="342"/>
    </row>
    <row r="217" spans="1:10" s="334" customFormat="1" ht="17.100000000000001" customHeight="1" x14ac:dyDescent="0.25">
      <c r="A217" s="316"/>
      <c r="B217" s="320" t="s">
        <v>75</v>
      </c>
      <c r="C217" s="331">
        <f>'Office Minor'!C283</f>
        <v>0</v>
      </c>
      <c r="D217" s="331">
        <f>'Office Minor'!D283</f>
        <v>0</v>
      </c>
      <c r="E217" s="331">
        <f>'Office Minor'!E283</f>
        <v>0</v>
      </c>
      <c r="F217" s="331">
        <f>'Office Minor'!F283</f>
        <v>0</v>
      </c>
      <c r="G217" s="331">
        <f>'Office Minor'!G283</f>
        <v>21782133</v>
      </c>
      <c r="H217" s="331">
        <f>'Office Minor'!H283</f>
        <v>0</v>
      </c>
      <c r="I217" s="523"/>
      <c r="J217" s="342"/>
    </row>
    <row r="218" spans="1:10" s="334" customFormat="1" ht="17.100000000000001" customHeight="1" x14ac:dyDescent="0.25">
      <c r="A218" s="316"/>
      <c r="B218" s="320" t="s">
        <v>49</v>
      </c>
      <c r="C218" s="331">
        <f>'Office Minor'!C284</f>
        <v>0</v>
      </c>
      <c r="D218" s="331">
        <f>'Office Minor'!D284</f>
        <v>0</v>
      </c>
      <c r="E218" s="331">
        <f>'Office Minor'!E284</f>
        <v>0</v>
      </c>
      <c r="F218" s="331">
        <f>'Office Minor'!F284</f>
        <v>0</v>
      </c>
      <c r="G218" s="331">
        <f>'Office Minor'!G284</f>
        <v>0</v>
      </c>
      <c r="H218" s="331">
        <f>'Office Minor'!H284</f>
        <v>0</v>
      </c>
      <c r="I218" s="523"/>
      <c r="J218" s="342"/>
    </row>
    <row r="219" spans="1:10" s="334" customFormat="1" ht="17.100000000000001" customHeight="1" x14ac:dyDescent="0.25">
      <c r="A219" s="1231" t="s">
        <v>50</v>
      </c>
      <c r="B219" s="1232"/>
      <c r="C219" s="68">
        <f t="shared" ref="C219:H219" si="49">SUM(C205:C218)</f>
        <v>123</v>
      </c>
      <c r="D219" s="889">
        <f>SUM(D205:D218)</f>
        <v>3355.7358000000004</v>
      </c>
      <c r="E219" s="68">
        <f t="shared" si="49"/>
        <v>5988955</v>
      </c>
      <c r="F219" s="68">
        <f t="shared" si="49"/>
        <v>792263540</v>
      </c>
      <c r="G219" s="68">
        <f t="shared" si="49"/>
        <v>262415251</v>
      </c>
      <c r="H219" s="68">
        <f t="shared" si="49"/>
        <v>903</v>
      </c>
      <c r="I219" s="528" t="e">
        <f>G219+Distt.Major!#REF!</f>
        <v>#REF!</v>
      </c>
      <c r="J219" s="342"/>
    </row>
    <row r="220" spans="1:10" s="334" customFormat="1" ht="17.100000000000001" customHeight="1" x14ac:dyDescent="0.25">
      <c r="A220" s="501"/>
      <c r="B220" s="501"/>
      <c r="C220" s="501"/>
      <c r="D220" s="501"/>
      <c r="E220" s="501"/>
      <c r="F220" s="501"/>
      <c r="G220" s="501"/>
      <c r="H220" s="501"/>
      <c r="I220" s="523"/>
      <c r="J220" s="342"/>
    </row>
    <row r="221" spans="1:10" s="334" customFormat="1" ht="17.100000000000001" customHeight="1" x14ac:dyDescent="0.25">
      <c r="A221" s="1264" t="s">
        <v>285</v>
      </c>
      <c r="B221" s="1264"/>
      <c r="C221" s="1264"/>
      <c r="D221" s="1264"/>
      <c r="E221" s="1264"/>
      <c r="F221" s="1264"/>
      <c r="G221" s="1264"/>
      <c r="H221" s="1264"/>
      <c r="I221" s="523"/>
      <c r="J221" s="342"/>
    </row>
    <row r="222" spans="1:10" s="334" customFormat="1" ht="17.100000000000001" customHeight="1" x14ac:dyDescent="0.25">
      <c r="A222" s="1225" t="s">
        <v>182</v>
      </c>
      <c r="B222" s="1225" t="s">
        <v>3</v>
      </c>
      <c r="C222" s="1225" t="s">
        <v>4</v>
      </c>
      <c r="D222" s="834" t="s">
        <v>5</v>
      </c>
      <c r="E222" s="68" t="s">
        <v>6</v>
      </c>
      <c r="F222" s="833" t="s">
        <v>7</v>
      </c>
      <c r="G222" s="833" t="s">
        <v>8</v>
      </c>
      <c r="H222" s="68" t="s">
        <v>9</v>
      </c>
      <c r="I222" s="523"/>
      <c r="J222" s="342"/>
    </row>
    <row r="223" spans="1:10" s="334" customFormat="1" ht="17.100000000000001" customHeight="1" x14ac:dyDescent="0.25">
      <c r="A223" s="1230"/>
      <c r="B223" s="1230"/>
      <c r="C223" s="1230"/>
      <c r="D223" s="835" t="s">
        <v>78</v>
      </c>
      <c r="E223" s="835" t="s">
        <v>79</v>
      </c>
      <c r="F223" s="836" t="s">
        <v>80</v>
      </c>
      <c r="G223" s="836" t="s">
        <v>80</v>
      </c>
      <c r="H223" s="69" t="s">
        <v>13</v>
      </c>
      <c r="I223" s="523"/>
      <c r="J223" s="342"/>
    </row>
    <row r="224" spans="1:10" s="334" customFormat="1" ht="17.100000000000001" customHeight="1" x14ac:dyDescent="0.25">
      <c r="A224" s="324">
        <v>1</v>
      </c>
      <c r="B224" s="320" t="s">
        <v>197</v>
      </c>
      <c r="C224" s="325">
        <f>'Office Minor'!C290</f>
        <v>121</v>
      </c>
      <c r="D224" s="325">
        <f>'Office Minor'!D290</f>
        <v>233.8</v>
      </c>
      <c r="E224" s="325">
        <f>'Office Minor'!E290</f>
        <v>586644.89</v>
      </c>
      <c r="F224" s="325">
        <f>'Office Minor'!F290</f>
        <v>439983667.5</v>
      </c>
      <c r="G224" s="325">
        <f>'Office Minor'!G290</f>
        <v>46931591.200000003</v>
      </c>
      <c r="H224" s="325">
        <f>'Office Minor'!H290</f>
        <v>690</v>
      </c>
      <c r="I224" s="523"/>
      <c r="J224" s="342">
        <f>F224/E224</f>
        <v>750</v>
      </c>
    </row>
    <row r="225" spans="1:17" s="334" customFormat="1" ht="17.100000000000001" customHeight="1" x14ac:dyDescent="0.25">
      <c r="A225" s="324">
        <v>2</v>
      </c>
      <c r="B225" s="320" t="s">
        <v>63</v>
      </c>
      <c r="C225" s="325">
        <f>'Office Minor'!C291</f>
        <v>16</v>
      </c>
      <c r="D225" s="325">
        <f>'Office Minor'!D291</f>
        <v>158.73310000000001</v>
      </c>
      <c r="E225" s="325">
        <f>'Office Minor'!E291</f>
        <v>15180.5</v>
      </c>
      <c r="F225" s="325">
        <f>'Office Minor'!F291</f>
        <v>3112002.5</v>
      </c>
      <c r="G225" s="325">
        <f>'Office Minor'!G291</f>
        <v>531317.5</v>
      </c>
      <c r="H225" s="325">
        <f>'Office Minor'!H291</f>
        <v>50</v>
      </c>
      <c r="I225" s="523"/>
      <c r="J225" s="342">
        <f t="shared" si="46"/>
        <v>205</v>
      </c>
    </row>
    <row r="226" spans="1:17" s="334" customFormat="1" ht="17.100000000000001" customHeight="1" x14ac:dyDescent="0.25">
      <c r="A226" s="324">
        <v>3</v>
      </c>
      <c r="B226" s="320" t="s">
        <v>54</v>
      </c>
      <c r="C226" s="325">
        <f>'Office Minor'!C292</f>
        <v>0</v>
      </c>
      <c r="D226" s="325">
        <f>'Office Minor'!D292</f>
        <v>0</v>
      </c>
      <c r="E226" s="325">
        <f>'Office Minor'!E292</f>
        <v>819000</v>
      </c>
      <c r="F226" s="325">
        <f>'Office Minor'!F292</f>
        <v>188370000</v>
      </c>
      <c r="G226" s="325">
        <f>'Office Minor'!G292</f>
        <v>23247431</v>
      </c>
      <c r="H226" s="325">
        <f>'Office Minor'!H292</f>
        <v>625</v>
      </c>
      <c r="I226" s="523"/>
      <c r="J226" s="342">
        <f t="shared" si="46"/>
        <v>230</v>
      </c>
    </row>
    <row r="227" spans="1:17" s="334" customFormat="1" ht="17.100000000000001" customHeight="1" x14ac:dyDescent="0.25">
      <c r="A227" s="324">
        <v>4</v>
      </c>
      <c r="B227" s="320" t="s">
        <v>59</v>
      </c>
      <c r="C227" s="325">
        <f>'Office Minor'!C293</f>
        <v>0</v>
      </c>
      <c r="D227" s="325">
        <f>'Office Minor'!D293</f>
        <v>0</v>
      </c>
      <c r="E227" s="325">
        <f>'Office Minor'!E293</f>
        <v>0</v>
      </c>
      <c r="F227" s="325">
        <f>'Office Minor'!F293</f>
        <v>0</v>
      </c>
      <c r="G227" s="325">
        <f>'Office Minor'!G293</f>
        <v>0</v>
      </c>
      <c r="H227" s="325">
        <f>'Office Minor'!H293</f>
        <v>0</v>
      </c>
      <c r="I227" s="523"/>
      <c r="J227" s="342" t="e">
        <f>F227/E227</f>
        <v>#DIV/0!</v>
      </c>
    </row>
    <row r="228" spans="1:17" s="334" customFormat="1" ht="17.100000000000001" customHeight="1" x14ac:dyDescent="0.25">
      <c r="A228" s="890"/>
      <c r="B228" s="320" t="s">
        <v>75</v>
      </c>
      <c r="C228" s="325"/>
      <c r="D228" s="325"/>
      <c r="E228" s="325"/>
      <c r="F228" s="325"/>
      <c r="G228" s="325">
        <f>'Office Minor'!G294</f>
        <v>26775000</v>
      </c>
      <c r="H228" s="325"/>
      <c r="I228" s="523"/>
      <c r="J228" s="342"/>
    </row>
    <row r="229" spans="1:17" s="334" customFormat="1" ht="17.100000000000001" customHeight="1" x14ac:dyDescent="0.25">
      <c r="A229" s="890"/>
      <c r="B229" s="320" t="s">
        <v>49</v>
      </c>
      <c r="C229" s="325"/>
      <c r="D229" s="325"/>
      <c r="E229" s="325"/>
      <c r="F229" s="325"/>
      <c r="G229" s="325">
        <f>'Office Minor'!G295</f>
        <v>21343000</v>
      </c>
      <c r="H229" s="325"/>
      <c r="I229" s="523"/>
      <c r="J229" s="342"/>
      <c r="K229" s="334" t="s">
        <v>601</v>
      </c>
      <c r="L229" s="334">
        <f>'Office Minor'!C303</f>
        <v>0</v>
      </c>
      <c r="M229" s="334">
        <f>'Office Minor'!D303</f>
        <v>0</v>
      </c>
      <c r="N229" s="334">
        <f>'Office Minor'!E303</f>
        <v>26287</v>
      </c>
      <c r="O229" s="334">
        <f>'Office Minor'!F303</f>
        <v>17087083</v>
      </c>
      <c r="P229" s="334">
        <f>'Office Minor'!G303</f>
        <v>1031473</v>
      </c>
      <c r="Q229" s="334">
        <f>'Office Minor'!H303</f>
        <v>25</v>
      </c>
    </row>
    <row r="230" spans="1:17" s="334" customFormat="1" ht="17.100000000000001" customHeight="1" x14ac:dyDescent="0.25">
      <c r="A230" s="1231" t="s">
        <v>50</v>
      </c>
      <c r="B230" s="1232"/>
      <c r="C230" s="497">
        <f t="shared" ref="C230:H230" si="50">SUM(C224:C229)</f>
        <v>137</v>
      </c>
      <c r="D230" s="498">
        <f t="shared" si="50"/>
        <v>392.53309999999999</v>
      </c>
      <c r="E230" s="497">
        <f t="shared" si="50"/>
        <v>1420825.3900000001</v>
      </c>
      <c r="F230" s="499">
        <f t="shared" si="50"/>
        <v>631465670</v>
      </c>
      <c r="G230" s="499">
        <f t="shared" si="50"/>
        <v>118828339.7</v>
      </c>
      <c r="H230" s="878">
        <f t="shared" si="50"/>
        <v>1365</v>
      </c>
      <c r="I230" s="524">
        <f>G230</f>
        <v>118828339.7</v>
      </c>
      <c r="J230" s="342"/>
      <c r="K230" s="334" t="s">
        <v>602</v>
      </c>
      <c r="L230" s="334">
        <f>'Office Minor'!C661</f>
        <v>14</v>
      </c>
      <c r="M230" s="334">
        <f>'Office Minor'!D661</f>
        <v>920.07</v>
      </c>
      <c r="N230" s="334">
        <f>'Office Minor'!E661</f>
        <v>32386</v>
      </c>
      <c r="O230" s="334">
        <f>'Office Minor'!F661</f>
        <v>21050900</v>
      </c>
      <c r="P230" s="334">
        <f>'Office Minor'!G661</f>
        <v>1943160</v>
      </c>
      <c r="Q230" s="334">
        <f>'Office Minor'!H661</f>
        <v>0</v>
      </c>
    </row>
    <row r="231" spans="1:17" s="334" customFormat="1" ht="17.100000000000001" customHeight="1" x14ac:dyDescent="0.25">
      <c r="A231" s="501"/>
      <c r="B231" s="501"/>
      <c r="C231" s="501"/>
      <c r="D231" s="501"/>
      <c r="E231" s="501"/>
      <c r="F231" s="501"/>
      <c r="G231" s="501"/>
      <c r="H231" s="501"/>
      <c r="I231" s="523"/>
      <c r="J231" s="342"/>
      <c r="L231" s="707">
        <f>L229+L230</f>
        <v>14</v>
      </c>
      <c r="M231" s="707">
        <f t="shared" ref="M231:Q231" si="51">M229+M230</f>
        <v>920.07</v>
      </c>
      <c r="N231" s="707">
        <f t="shared" si="51"/>
        <v>58673</v>
      </c>
      <c r="O231" s="707">
        <f t="shared" si="51"/>
        <v>38137983</v>
      </c>
      <c r="P231" s="707">
        <f t="shared" si="51"/>
        <v>2974633</v>
      </c>
      <c r="Q231" s="707">
        <f t="shared" si="51"/>
        <v>25</v>
      </c>
    </row>
    <row r="232" spans="1:17" s="334" customFormat="1" ht="17.100000000000001" customHeight="1" x14ac:dyDescent="0.25">
      <c r="A232" s="1264" t="s">
        <v>250</v>
      </c>
      <c r="B232" s="1264"/>
      <c r="C232" s="1264"/>
      <c r="D232" s="1264"/>
      <c r="E232" s="1264"/>
      <c r="F232" s="1264"/>
      <c r="G232" s="1264"/>
      <c r="H232" s="1264"/>
      <c r="I232" s="523"/>
      <c r="J232" s="342"/>
    </row>
    <row r="233" spans="1:17" s="334" customFormat="1" ht="17.100000000000001" customHeight="1" x14ac:dyDescent="0.25">
      <c r="A233" s="1225" t="s">
        <v>182</v>
      </c>
      <c r="B233" s="1225" t="s">
        <v>3</v>
      </c>
      <c r="C233" s="1225" t="s">
        <v>4</v>
      </c>
      <c r="D233" s="834" t="s">
        <v>5</v>
      </c>
      <c r="E233" s="68" t="s">
        <v>6</v>
      </c>
      <c r="F233" s="833" t="s">
        <v>7</v>
      </c>
      <c r="G233" s="833" t="s">
        <v>8</v>
      </c>
      <c r="H233" s="68" t="s">
        <v>9</v>
      </c>
      <c r="I233" s="523"/>
      <c r="J233" s="342"/>
      <c r="K233" s="334" t="s">
        <v>579</v>
      </c>
      <c r="L233" s="334">
        <f>Distt.Minor!M570</f>
        <v>0</v>
      </c>
      <c r="M233" s="334">
        <f>Distt.Minor!N570</f>
        <v>0</v>
      </c>
      <c r="N233" s="334">
        <f>Distt.Minor!O570</f>
        <v>0</v>
      </c>
      <c r="O233" s="334">
        <f>Distt.Minor!P570</f>
        <v>0</v>
      </c>
      <c r="P233" s="334">
        <f>Distt.Minor!Q570</f>
        <v>0</v>
      </c>
      <c r="Q233" s="334">
        <f>Distt.Minor!R570</f>
        <v>0</v>
      </c>
    </row>
    <row r="234" spans="1:17" s="334" customFormat="1" ht="17.100000000000001" customHeight="1" x14ac:dyDescent="0.25">
      <c r="A234" s="1230"/>
      <c r="B234" s="1230"/>
      <c r="C234" s="1230"/>
      <c r="D234" s="835" t="s">
        <v>78</v>
      </c>
      <c r="E234" s="835" t="s">
        <v>79</v>
      </c>
      <c r="F234" s="836" t="s">
        <v>80</v>
      </c>
      <c r="G234" s="836" t="s">
        <v>80</v>
      </c>
      <c r="H234" s="69" t="s">
        <v>13</v>
      </c>
      <c r="I234" s="523"/>
      <c r="J234" s="342"/>
      <c r="K234" s="334" t="s">
        <v>580</v>
      </c>
      <c r="L234" s="334">
        <f>'Office Minor'!C656</f>
        <v>41</v>
      </c>
      <c r="M234" s="334">
        <f>'Office Minor'!D656</f>
        <v>69.11</v>
      </c>
      <c r="N234" s="334">
        <f>'Office Minor'!E656</f>
        <v>81894</v>
      </c>
      <c r="O234" s="334">
        <f>'Office Minor'!F656</f>
        <v>135125100</v>
      </c>
      <c r="P234" s="334">
        <f>'Office Minor'!G656</f>
        <v>18426150</v>
      </c>
      <c r="Q234" s="334">
        <f>'Office Minor'!H656</f>
        <v>150</v>
      </c>
    </row>
    <row r="235" spans="1:17" s="334" customFormat="1" ht="17.100000000000001" customHeight="1" x14ac:dyDescent="0.25">
      <c r="A235" s="891">
        <v>1</v>
      </c>
      <c r="B235" s="320" t="s">
        <v>72</v>
      </c>
      <c r="C235" s="325">
        <f>'Office Minor'!C301</f>
        <v>74</v>
      </c>
      <c r="D235" s="325">
        <f>'Office Minor'!D301</f>
        <v>102.2</v>
      </c>
      <c r="E235" s="325">
        <f>'Office Minor'!E301</f>
        <v>121112.46</v>
      </c>
      <c r="F235" s="325">
        <f>'Office Minor'!F301</f>
        <v>181668690</v>
      </c>
      <c r="G235" s="325">
        <f>'Office Minor'!G301</f>
        <v>50372705</v>
      </c>
      <c r="H235" s="325">
        <f>'Office Minor'!H301</f>
        <v>405</v>
      </c>
      <c r="I235" s="523"/>
      <c r="J235" s="342">
        <f>F235/E235</f>
        <v>1500</v>
      </c>
      <c r="K235" s="707" t="s">
        <v>581</v>
      </c>
      <c r="L235" s="707">
        <f>L234-L233</f>
        <v>41</v>
      </c>
      <c r="M235" s="707">
        <f t="shared" ref="M235:Q235" si="52">M234-M233</f>
        <v>69.11</v>
      </c>
      <c r="N235" s="707">
        <f t="shared" si="52"/>
        <v>81894</v>
      </c>
      <c r="O235" s="707">
        <f t="shared" si="52"/>
        <v>135125100</v>
      </c>
      <c r="P235" s="707">
        <f>P234-P233</f>
        <v>18426150</v>
      </c>
      <c r="Q235" s="707">
        <f t="shared" si="52"/>
        <v>150</v>
      </c>
    </row>
    <row r="236" spans="1:17" s="334" customFormat="1" ht="17.100000000000001" customHeight="1" x14ac:dyDescent="0.25">
      <c r="A236" s="316">
        <f>+A235+1</f>
        <v>2</v>
      </c>
      <c r="B236" s="320" t="s">
        <v>63</v>
      </c>
      <c r="C236" s="325">
        <f>'Office Minor'!C302</f>
        <v>30</v>
      </c>
      <c r="D236" s="325">
        <f>'Office Minor'!D302</f>
        <v>33.619999999999997</v>
      </c>
      <c r="E236" s="325">
        <f>'Office Minor'!E302</f>
        <v>623354</v>
      </c>
      <c r="F236" s="325">
        <f>'Office Minor'!F302</f>
        <v>121554189</v>
      </c>
      <c r="G236" s="325">
        <f>'Office Minor'!G302</f>
        <v>39364086</v>
      </c>
      <c r="H236" s="325">
        <f>'Office Minor'!H302</f>
        <v>200</v>
      </c>
      <c r="I236" s="523"/>
      <c r="J236" s="342">
        <f>F236/E236</f>
        <v>195.00025507175698</v>
      </c>
    </row>
    <row r="237" spans="1:17" s="334" customFormat="1" ht="17.100000000000001" customHeight="1" x14ac:dyDescent="0.25">
      <c r="A237" s="891">
        <v>3</v>
      </c>
      <c r="B237" s="320" t="s">
        <v>62</v>
      </c>
      <c r="C237" s="325">
        <v>0</v>
      </c>
      <c r="D237" s="325">
        <v>0</v>
      </c>
      <c r="E237" s="325">
        <v>0</v>
      </c>
      <c r="F237" s="325">
        <v>0</v>
      </c>
      <c r="G237" s="325">
        <v>0</v>
      </c>
      <c r="H237" s="325">
        <v>0</v>
      </c>
      <c r="I237" s="523"/>
      <c r="J237" s="342" t="e">
        <f t="shared" ref="J237:J242" si="53">F237/E237</f>
        <v>#DIV/0!</v>
      </c>
    </row>
    <row r="238" spans="1:17" s="334" customFormat="1" ht="17.100000000000001" customHeight="1" x14ac:dyDescent="0.25">
      <c r="A238" s="891">
        <v>4</v>
      </c>
      <c r="B238" s="320" t="s">
        <v>186</v>
      </c>
      <c r="C238" s="325">
        <f>'Office Minor'!C303</f>
        <v>0</v>
      </c>
      <c r="D238" s="325">
        <f>'Office Minor'!D303</f>
        <v>0</v>
      </c>
      <c r="E238" s="325">
        <f>'Office Minor'!E303</f>
        <v>26287</v>
      </c>
      <c r="F238" s="325">
        <f>'Office Minor'!F303</f>
        <v>17087083</v>
      </c>
      <c r="G238" s="325">
        <f>'Office Minor'!G303</f>
        <v>1031473</v>
      </c>
      <c r="H238" s="325">
        <f>'Office Minor'!H303</f>
        <v>25</v>
      </c>
      <c r="I238" s="523"/>
      <c r="J238" s="342">
        <f t="shared" si="53"/>
        <v>650.02027618214322</v>
      </c>
      <c r="L238" s="334" t="s">
        <v>583</v>
      </c>
      <c r="M238" s="334" t="s">
        <v>584</v>
      </c>
      <c r="O238" s="334" t="s">
        <v>585</v>
      </c>
      <c r="P238" s="334" t="s">
        <v>586</v>
      </c>
    </row>
    <row r="239" spans="1:17" s="334" customFormat="1" ht="17.100000000000001" customHeight="1" x14ac:dyDescent="0.25">
      <c r="A239" s="316">
        <v>5</v>
      </c>
      <c r="B239" s="319" t="s">
        <v>27</v>
      </c>
      <c r="C239" s="325">
        <v>0</v>
      </c>
      <c r="D239" s="325">
        <v>0</v>
      </c>
      <c r="E239" s="325">
        <v>0</v>
      </c>
      <c r="F239" s="325">
        <v>0</v>
      </c>
      <c r="G239" s="325">
        <v>0</v>
      </c>
      <c r="H239" s="325">
        <v>0</v>
      </c>
      <c r="I239" s="523"/>
      <c r="J239" s="342" t="e">
        <f t="shared" si="53"/>
        <v>#DIV/0!</v>
      </c>
      <c r="K239" s="334" t="s">
        <v>582</v>
      </c>
      <c r="L239" s="342">
        <f>'Office Minor'!G308</f>
        <v>49514186</v>
      </c>
      <c r="M239" s="342">
        <f>P239</f>
        <v>0</v>
      </c>
      <c r="N239" s="379">
        <f>L239+M239</f>
        <v>49514186</v>
      </c>
      <c r="O239" s="342">
        <f>'Office Minor'!G666</f>
        <v>1259000</v>
      </c>
      <c r="P239" s="342">
        <f>O239-M591</f>
        <v>0</v>
      </c>
    </row>
    <row r="240" spans="1:17" s="334" customFormat="1" ht="17.100000000000001" customHeight="1" x14ac:dyDescent="0.25">
      <c r="A240" s="891">
        <v>6</v>
      </c>
      <c r="B240" s="319" t="s">
        <v>54</v>
      </c>
      <c r="C240" s="325">
        <f>'Office Minor'!C305</f>
        <v>0</v>
      </c>
      <c r="D240" s="325">
        <f>'Office Minor'!D305</f>
        <v>0</v>
      </c>
      <c r="E240" s="325">
        <f>'Office Minor'!E305</f>
        <v>57645</v>
      </c>
      <c r="F240" s="325">
        <f>'Office Minor'!F305</f>
        <v>11529000</v>
      </c>
      <c r="G240" s="325">
        <f>'Office Minor'!G305</f>
        <v>1844640</v>
      </c>
      <c r="H240" s="325">
        <f>'Office Minor'!H305</f>
        <v>80</v>
      </c>
      <c r="I240" s="523"/>
      <c r="J240" s="342">
        <f t="shared" si="53"/>
        <v>200</v>
      </c>
      <c r="K240" s="334" t="s">
        <v>502</v>
      </c>
      <c r="L240" s="342">
        <f>'Office Minor'!G309</f>
        <v>24480879</v>
      </c>
      <c r="M240" s="342">
        <f>P240</f>
        <v>0</v>
      </c>
      <c r="N240" s="379">
        <f>L240+M240</f>
        <v>24480879</v>
      </c>
      <c r="O240" s="342">
        <f>'Office Minor'!G667</f>
        <v>2171283</v>
      </c>
      <c r="P240" s="342">
        <f>O240-M592</f>
        <v>0</v>
      </c>
    </row>
    <row r="241" spans="1:17" s="334" customFormat="1" ht="17.100000000000001" customHeight="1" x14ac:dyDescent="0.25">
      <c r="A241" s="891">
        <v>7</v>
      </c>
      <c r="B241" s="319" t="s">
        <v>40</v>
      </c>
      <c r="C241" s="325">
        <f>'Office Minor'!C307</f>
        <v>44</v>
      </c>
      <c r="D241" s="325">
        <f>'Office Minor'!D307</f>
        <v>54.51</v>
      </c>
      <c r="E241" s="325">
        <f>'Office Minor'!E307</f>
        <v>132496</v>
      </c>
      <c r="F241" s="325">
        <f>'Office Minor'!F307</f>
        <v>86122588</v>
      </c>
      <c r="G241" s="325">
        <f>'Office Minor'!G307</f>
        <v>31289864</v>
      </c>
      <c r="H241" s="325">
        <f>'Office Minor'!H307</f>
        <v>450</v>
      </c>
      <c r="I241" s="523"/>
      <c r="J241" s="342"/>
      <c r="L241" s="342"/>
      <c r="M241" s="342"/>
      <c r="N241" s="379"/>
      <c r="O241" s="342"/>
      <c r="P241" s="342"/>
    </row>
    <row r="242" spans="1:17" s="334" customFormat="1" ht="17.100000000000001" customHeight="1" x14ac:dyDescent="0.25">
      <c r="A242" s="891">
        <v>8</v>
      </c>
      <c r="B242" s="862" t="s">
        <v>46</v>
      </c>
      <c r="C242" s="325">
        <f>'Office Minor'!C306</f>
        <v>23</v>
      </c>
      <c r="D242" s="325">
        <f>'Office Minor'!D306</f>
        <v>388.75</v>
      </c>
      <c r="E242" s="325">
        <f>'Office Minor'!E306</f>
        <v>198944</v>
      </c>
      <c r="F242" s="325">
        <f>'Office Minor'!F306</f>
        <v>288469858</v>
      </c>
      <c r="G242" s="325">
        <f>'Office Minor'!G306</f>
        <v>25768071</v>
      </c>
      <c r="H242" s="325">
        <f>'Office Minor'!H306</f>
        <v>490</v>
      </c>
      <c r="I242" s="523"/>
      <c r="J242" s="342">
        <f t="shared" si="53"/>
        <v>1450.0053180794596</v>
      </c>
      <c r="L242" s="342"/>
      <c r="M242" s="342"/>
    </row>
    <row r="243" spans="1:17" s="334" customFormat="1" ht="17.100000000000001" customHeight="1" x14ac:dyDescent="0.25">
      <c r="A243" s="316"/>
      <c r="B243" s="319" t="s">
        <v>75</v>
      </c>
      <c r="C243" s="325">
        <f>'Office Minor'!C308</f>
        <v>0</v>
      </c>
      <c r="D243" s="325">
        <f>'Office Minor'!D308</f>
        <v>0</v>
      </c>
      <c r="E243" s="325">
        <f>'Office Minor'!E308</f>
        <v>0</v>
      </c>
      <c r="F243" s="325">
        <f>'Office Minor'!F308</f>
        <v>0</v>
      </c>
      <c r="G243" s="325">
        <f>'Office Minor'!G308</f>
        <v>49514186</v>
      </c>
      <c r="H243" s="325">
        <f>'Office Minor'!H308</f>
        <v>0</v>
      </c>
      <c r="I243" s="523"/>
      <c r="J243" s="342"/>
      <c r="K243" s="334" t="s">
        <v>569</v>
      </c>
      <c r="L243" s="334">
        <f>'Office Minor'!C662</f>
        <v>5</v>
      </c>
      <c r="M243" s="334">
        <f>'Office Minor'!D662</f>
        <v>0</v>
      </c>
      <c r="N243" s="334">
        <f>'Office Minor'!E662</f>
        <v>25143</v>
      </c>
      <c r="O243" s="334">
        <f>'Office Minor'!F662</f>
        <v>33943050</v>
      </c>
      <c r="P243" s="334">
        <f>'Office Minor'!G662</f>
        <v>7291470</v>
      </c>
      <c r="Q243" s="334">
        <f>'Office Minor'!H662</f>
        <v>100</v>
      </c>
    </row>
    <row r="244" spans="1:17" s="334" customFormat="1" ht="17.100000000000001" customHeight="1" x14ac:dyDescent="0.25">
      <c r="A244" s="316"/>
      <c r="B244" s="320" t="s">
        <v>49</v>
      </c>
      <c r="C244" s="325">
        <f>'Office Minor'!C309</f>
        <v>0</v>
      </c>
      <c r="D244" s="325">
        <f>'Office Minor'!D309</f>
        <v>0</v>
      </c>
      <c r="E244" s="325">
        <f>'Office Minor'!E309</f>
        <v>0</v>
      </c>
      <c r="F244" s="325">
        <f>'Office Minor'!F309</f>
        <v>0</v>
      </c>
      <c r="G244" s="325">
        <f>'Office Minor'!G309</f>
        <v>24480879</v>
      </c>
      <c r="H244" s="325">
        <f>'Office Minor'!H309</f>
        <v>0</v>
      </c>
      <c r="I244" s="523"/>
      <c r="J244" s="342"/>
      <c r="K244" s="204" t="s">
        <v>570</v>
      </c>
      <c r="L244" s="204">
        <f>'Office Minor'!C306</f>
        <v>23</v>
      </c>
      <c r="M244" s="204">
        <f>'Office Minor'!D306</f>
        <v>388.75</v>
      </c>
      <c r="N244" s="204">
        <f>'Office Minor'!E306</f>
        <v>198944</v>
      </c>
      <c r="O244" s="204">
        <f>'Office Minor'!F306</f>
        <v>288469858</v>
      </c>
      <c r="P244" s="204">
        <f>'Office Minor'!G306</f>
        <v>25768071</v>
      </c>
      <c r="Q244" s="204">
        <f>'Office Minor'!H306</f>
        <v>490</v>
      </c>
    </row>
    <row r="245" spans="1:17" s="334" customFormat="1" ht="17.100000000000001" customHeight="1" x14ac:dyDescent="0.25">
      <c r="A245" s="1231" t="s">
        <v>50</v>
      </c>
      <c r="B245" s="1232"/>
      <c r="C245" s="497">
        <f>SUM(C235:C244)</f>
        <v>171</v>
      </c>
      <c r="D245" s="497">
        <f t="shared" ref="D245:H245" si="54">SUM(D235:D244)</f>
        <v>579.07999999999993</v>
      </c>
      <c r="E245" s="497">
        <f t="shared" si="54"/>
        <v>1159838.46</v>
      </c>
      <c r="F245" s="497">
        <f t="shared" si="54"/>
        <v>706431408</v>
      </c>
      <c r="G245" s="497">
        <f t="shared" si="54"/>
        <v>223665904</v>
      </c>
      <c r="H245" s="497">
        <f t="shared" si="54"/>
        <v>1650</v>
      </c>
      <c r="I245" s="524">
        <f>Distt.Major!G83+G245</f>
        <v>223696671</v>
      </c>
      <c r="J245" s="342"/>
      <c r="K245" s="334" t="s">
        <v>571</v>
      </c>
      <c r="L245" s="334">
        <f t="shared" ref="L245:Q245" si="55">L243-M580</f>
        <v>5</v>
      </c>
      <c r="M245" s="334">
        <f t="shared" si="55"/>
        <v>0</v>
      </c>
      <c r="N245" s="334">
        <f t="shared" si="55"/>
        <v>25143</v>
      </c>
      <c r="O245" s="334">
        <f t="shared" si="55"/>
        <v>33943050</v>
      </c>
      <c r="P245" s="334">
        <f t="shared" si="55"/>
        <v>7291470</v>
      </c>
      <c r="Q245" s="334">
        <f t="shared" si="55"/>
        <v>100</v>
      </c>
    </row>
    <row r="246" spans="1:17" s="334" customFormat="1" ht="17.100000000000001" customHeight="1" x14ac:dyDescent="0.25">
      <c r="A246" s="513"/>
      <c r="B246" s="513"/>
      <c r="C246" s="513"/>
      <c r="D246" s="513"/>
      <c r="E246" s="513"/>
      <c r="F246" s="513"/>
      <c r="G246" s="513"/>
      <c r="H246" s="513"/>
      <c r="I246" s="523"/>
      <c r="J246" s="342"/>
      <c r="K246" s="707" t="s">
        <v>572</v>
      </c>
      <c r="L246" s="707">
        <f>L245+L244</f>
        <v>28</v>
      </c>
      <c r="M246" s="707">
        <f t="shared" ref="M246:Q246" si="56">M245+M244</f>
        <v>388.75</v>
      </c>
      <c r="N246" s="707">
        <f t="shared" si="56"/>
        <v>224087</v>
      </c>
      <c r="O246" s="707">
        <f t="shared" si="56"/>
        <v>322412908</v>
      </c>
      <c r="P246" s="707">
        <f t="shared" si="56"/>
        <v>33059541</v>
      </c>
      <c r="Q246" s="707">
        <f t="shared" si="56"/>
        <v>590</v>
      </c>
    </row>
    <row r="247" spans="1:17" s="334" customFormat="1" ht="17.100000000000001" customHeight="1" x14ac:dyDescent="0.25">
      <c r="A247" s="1264" t="s">
        <v>251</v>
      </c>
      <c r="B247" s="1264"/>
      <c r="C247" s="1264"/>
      <c r="D247" s="1264"/>
      <c r="E247" s="1264"/>
      <c r="F247" s="1264"/>
      <c r="G247" s="1264"/>
      <c r="H247" s="1264"/>
      <c r="I247" s="523"/>
      <c r="J247" s="342"/>
    </row>
    <row r="248" spans="1:17" s="334" customFormat="1" ht="17.100000000000001" customHeight="1" x14ac:dyDescent="0.25">
      <c r="A248" s="1225" t="s">
        <v>182</v>
      </c>
      <c r="B248" s="1225" t="s">
        <v>3</v>
      </c>
      <c r="C248" s="1225" t="s">
        <v>4</v>
      </c>
      <c r="D248" s="834" t="s">
        <v>5</v>
      </c>
      <c r="E248" s="68" t="s">
        <v>6</v>
      </c>
      <c r="F248" s="833" t="s">
        <v>7</v>
      </c>
      <c r="G248" s="833" t="s">
        <v>8</v>
      </c>
      <c r="H248" s="68" t="s">
        <v>9</v>
      </c>
      <c r="I248" s="523"/>
      <c r="J248" s="342"/>
    </row>
    <row r="249" spans="1:17" s="334" customFormat="1" ht="17.100000000000001" customHeight="1" x14ac:dyDescent="0.25">
      <c r="A249" s="1230"/>
      <c r="B249" s="1230"/>
      <c r="C249" s="1230"/>
      <c r="D249" s="835" t="s">
        <v>78</v>
      </c>
      <c r="E249" s="835" t="s">
        <v>79</v>
      </c>
      <c r="F249" s="836" t="s">
        <v>80</v>
      </c>
      <c r="G249" s="836" t="s">
        <v>80</v>
      </c>
      <c r="H249" s="69" t="s">
        <v>13</v>
      </c>
      <c r="I249" s="523"/>
      <c r="J249" s="342"/>
    </row>
    <row r="250" spans="1:17" s="334" customFormat="1" ht="17.100000000000001" customHeight="1" x14ac:dyDescent="0.25">
      <c r="A250" s="316">
        <v>1</v>
      </c>
      <c r="B250" s="320" t="s">
        <v>54</v>
      </c>
      <c r="C250" s="320">
        <f>'Office Minor'!C330</f>
        <v>0</v>
      </c>
      <c r="D250" s="320">
        <f>'Office Minor'!D330</f>
        <v>0</v>
      </c>
      <c r="E250" s="320">
        <f>'Office Minor'!E330</f>
        <v>4317960</v>
      </c>
      <c r="F250" s="320">
        <f>'Office Minor'!F330</f>
        <v>949951200</v>
      </c>
      <c r="G250" s="320">
        <f>'Office Minor'!G330</f>
        <v>144986151</v>
      </c>
      <c r="H250" s="320">
        <f>'Office Minor'!H330</f>
        <v>3500</v>
      </c>
      <c r="I250" s="523"/>
      <c r="J250" s="342">
        <f>F250/E250</f>
        <v>220</v>
      </c>
    </row>
    <row r="251" spans="1:17" s="334" customFormat="1" ht="17.100000000000001" customHeight="1" x14ac:dyDescent="0.25">
      <c r="A251" s="316">
        <v>2</v>
      </c>
      <c r="B251" s="320" t="s">
        <v>70</v>
      </c>
      <c r="C251" s="320">
        <f>'Office Minor'!C331</f>
        <v>0</v>
      </c>
      <c r="D251" s="320">
        <f>'Office Minor'!D331</f>
        <v>0</v>
      </c>
      <c r="E251" s="320">
        <f>'Office Minor'!E331</f>
        <v>0</v>
      </c>
      <c r="F251" s="320">
        <f>'Office Minor'!F331</f>
        <v>0</v>
      </c>
      <c r="G251" s="320">
        <f>'Office Minor'!G331</f>
        <v>0</v>
      </c>
      <c r="H251" s="320">
        <f>'Office Minor'!H331</f>
        <v>0</v>
      </c>
      <c r="I251" s="523"/>
      <c r="J251" s="342" t="e">
        <f t="shared" ref="J251:J252" si="57">F251/E251</f>
        <v>#DIV/0!</v>
      </c>
    </row>
    <row r="252" spans="1:17" s="334" customFormat="1" ht="17.100000000000001" customHeight="1" x14ac:dyDescent="0.25">
      <c r="A252" s="316">
        <v>3</v>
      </c>
      <c r="B252" s="317" t="s">
        <v>31</v>
      </c>
      <c r="C252" s="320">
        <f>'Office Minor'!C332</f>
        <v>80</v>
      </c>
      <c r="D252" s="320">
        <f>'Office Minor'!D332</f>
        <v>280.3</v>
      </c>
      <c r="E252" s="320">
        <f>'Office Minor'!E332</f>
        <v>784391</v>
      </c>
      <c r="F252" s="320">
        <f>'Office Minor'!F332</f>
        <v>541229790</v>
      </c>
      <c r="G252" s="320">
        <f>'Office Minor'!G332</f>
        <v>152136717</v>
      </c>
      <c r="H252" s="320">
        <f>'Office Minor'!H332</f>
        <v>320</v>
      </c>
      <c r="I252" s="523"/>
      <c r="J252" s="342">
        <f t="shared" si="57"/>
        <v>690</v>
      </c>
    </row>
    <row r="253" spans="1:17" s="334" customFormat="1" ht="17.100000000000001" customHeight="1" x14ac:dyDescent="0.25">
      <c r="A253" s="316"/>
      <c r="B253" s="320" t="s">
        <v>75</v>
      </c>
      <c r="C253" s="320"/>
      <c r="D253" s="320"/>
      <c r="E253" s="320"/>
      <c r="F253" s="320"/>
      <c r="G253" s="320">
        <f>'Office Minor'!G333</f>
        <v>13643505</v>
      </c>
      <c r="H253" s="320"/>
      <c r="I253" s="523"/>
      <c r="J253" s="342"/>
    </row>
    <row r="254" spans="1:17" s="334" customFormat="1" ht="17.100000000000001" customHeight="1" x14ac:dyDescent="0.25">
      <c r="A254" s="316"/>
      <c r="B254" s="320" t="s">
        <v>49</v>
      </c>
      <c r="C254" s="320"/>
      <c r="D254" s="320"/>
      <c r="E254" s="320"/>
      <c r="F254" s="320"/>
      <c r="G254" s="320">
        <f>'Office Minor'!G334</f>
        <v>19651697</v>
      </c>
      <c r="H254" s="320"/>
      <c r="I254" s="523"/>
      <c r="J254" s="342"/>
    </row>
    <row r="255" spans="1:17" s="334" customFormat="1" ht="17.100000000000001" customHeight="1" x14ac:dyDescent="0.25">
      <c r="A255" s="1231" t="s">
        <v>50</v>
      </c>
      <c r="B255" s="1232"/>
      <c r="C255" s="892">
        <f>SUM(C250:C254)</f>
        <v>80</v>
      </c>
      <c r="D255" s="892">
        <f t="shared" ref="D255:H255" si="58">SUM(D250:D254)</f>
        <v>280.3</v>
      </c>
      <c r="E255" s="892">
        <f t="shared" si="58"/>
        <v>5102351</v>
      </c>
      <c r="F255" s="892">
        <f t="shared" si="58"/>
        <v>1491180990</v>
      </c>
      <c r="G255" s="892">
        <f t="shared" si="58"/>
        <v>330418070</v>
      </c>
      <c r="H255" s="892">
        <f t="shared" si="58"/>
        <v>3820</v>
      </c>
      <c r="I255" s="524">
        <f>G255</f>
        <v>330418070</v>
      </c>
      <c r="J255" s="342"/>
    </row>
    <row r="256" spans="1:17" s="334" customFormat="1" ht="17.100000000000001" customHeight="1" x14ac:dyDescent="0.25">
      <c r="A256" s="1270"/>
      <c r="B256" s="1270"/>
      <c r="C256" s="893"/>
      <c r="D256" s="893"/>
      <c r="E256" s="894"/>
      <c r="F256" s="895"/>
      <c r="G256" s="895"/>
      <c r="H256" s="895"/>
      <c r="I256" s="523"/>
      <c r="J256" s="342"/>
    </row>
    <row r="257" spans="1:10" s="334" customFormat="1" ht="17.100000000000001" customHeight="1" x14ac:dyDescent="0.25">
      <c r="A257" s="513"/>
      <c r="B257" s="513"/>
      <c r="C257" s="513"/>
      <c r="D257" s="513"/>
      <c r="E257" s="513"/>
      <c r="F257" s="513"/>
      <c r="G257" s="513"/>
      <c r="H257" s="513"/>
      <c r="I257" s="523"/>
      <c r="J257" s="342"/>
    </row>
    <row r="258" spans="1:10" s="334" customFormat="1" ht="17.100000000000001" customHeight="1" x14ac:dyDescent="0.25">
      <c r="A258" s="1264" t="s">
        <v>254</v>
      </c>
      <c r="B258" s="1264"/>
      <c r="C258" s="1264"/>
      <c r="D258" s="1264"/>
      <c r="E258" s="1264"/>
      <c r="F258" s="1264"/>
      <c r="G258" s="1264"/>
      <c r="H258" s="1264"/>
      <c r="I258" s="523"/>
      <c r="J258" s="342"/>
    </row>
    <row r="259" spans="1:10" s="334" customFormat="1" ht="17.100000000000001" customHeight="1" x14ac:dyDescent="0.25">
      <c r="A259" s="1225" t="s">
        <v>182</v>
      </c>
      <c r="B259" s="1225" t="s">
        <v>3</v>
      </c>
      <c r="C259" s="1225" t="s">
        <v>4</v>
      </c>
      <c r="D259" s="834" t="s">
        <v>5</v>
      </c>
      <c r="E259" s="68" t="s">
        <v>6</v>
      </c>
      <c r="F259" s="833" t="s">
        <v>7</v>
      </c>
      <c r="G259" s="833" t="s">
        <v>8</v>
      </c>
      <c r="H259" s="68" t="s">
        <v>9</v>
      </c>
      <c r="I259" s="523"/>
      <c r="J259" s="342"/>
    </row>
    <row r="260" spans="1:10" s="334" customFormat="1" ht="17.100000000000001" customHeight="1" x14ac:dyDescent="0.25">
      <c r="A260" s="1230"/>
      <c r="B260" s="1230"/>
      <c r="C260" s="1230"/>
      <c r="D260" s="864" t="s">
        <v>78</v>
      </c>
      <c r="E260" s="864" t="s">
        <v>79</v>
      </c>
      <c r="F260" s="865" t="s">
        <v>80</v>
      </c>
      <c r="G260" s="865" t="s">
        <v>80</v>
      </c>
      <c r="H260" s="75" t="s">
        <v>13</v>
      </c>
      <c r="I260" s="523"/>
      <c r="J260" s="342"/>
    </row>
    <row r="261" spans="1:10" s="334" customFormat="1" ht="17.100000000000001" customHeight="1" x14ac:dyDescent="0.25">
      <c r="A261" s="316">
        <v>1</v>
      </c>
      <c r="B261" s="320" t="s">
        <v>58</v>
      </c>
      <c r="C261" s="320">
        <f>'Office Minor'!C340</f>
        <v>87</v>
      </c>
      <c r="D261" s="320">
        <f>'Office Minor'!D340</f>
        <v>236.17</v>
      </c>
      <c r="E261" s="320">
        <f>'Office Minor'!E340</f>
        <v>106415.14</v>
      </c>
      <c r="F261" s="320">
        <f>'Office Minor'!F340</f>
        <v>228792551</v>
      </c>
      <c r="G261" s="320">
        <f>'Office Minor'!G340</f>
        <v>46690590</v>
      </c>
      <c r="H261" s="320">
        <f>'Office Minor'!H340</f>
        <v>490</v>
      </c>
      <c r="I261" s="523"/>
      <c r="J261" s="342">
        <f>F261/E261</f>
        <v>2150</v>
      </c>
    </row>
    <row r="262" spans="1:10" s="334" customFormat="1" ht="17.100000000000001" customHeight="1" x14ac:dyDescent="0.25">
      <c r="A262" s="316">
        <v>2</v>
      </c>
      <c r="B262" s="320" t="s">
        <v>62</v>
      </c>
      <c r="C262" s="320">
        <f>'Office Minor'!C341</f>
        <v>41</v>
      </c>
      <c r="D262" s="320">
        <f>'Office Minor'!D341</f>
        <v>142.6</v>
      </c>
      <c r="E262" s="320">
        <f>'Office Minor'!E341</f>
        <v>38757.22</v>
      </c>
      <c r="F262" s="320">
        <f>'Office Minor'!F341</f>
        <v>71700857</v>
      </c>
      <c r="G262" s="320">
        <f>'Office Minor'!G341</f>
        <v>25661113</v>
      </c>
      <c r="H262" s="320">
        <f>'Office Minor'!H341</f>
        <v>210</v>
      </c>
      <c r="I262" s="523"/>
      <c r="J262" s="342">
        <f t="shared" ref="J262:J273" si="59">F262/E262</f>
        <v>1850</v>
      </c>
    </row>
    <row r="263" spans="1:10" s="334" customFormat="1" ht="17.100000000000001" customHeight="1" x14ac:dyDescent="0.25">
      <c r="A263" s="316">
        <v>3</v>
      </c>
      <c r="B263" s="320" t="s">
        <v>144</v>
      </c>
      <c r="C263" s="320">
        <f>'Office Minor'!C342</f>
        <v>209</v>
      </c>
      <c r="D263" s="320">
        <f>'Office Minor'!D342</f>
        <v>209.5</v>
      </c>
      <c r="E263" s="320">
        <f>'Office Minor'!E342</f>
        <v>106277.75999999999</v>
      </c>
      <c r="F263" s="320">
        <f>'Office Minor'!F342</f>
        <v>122219424</v>
      </c>
      <c r="G263" s="320">
        <f>'Office Minor'!G342</f>
        <v>33149560</v>
      </c>
      <c r="H263" s="320">
        <f>'Office Minor'!H342</f>
        <v>2450</v>
      </c>
      <c r="I263" s="523"/>
      <c r="J263" s="342">
        <f t="shared" si="59"/>
        <v>1150</v>
      </c>
    </row>
    <row r="264" spans="1:10" s="334" customFormat="1" ht="17.100000000000001" customHeight="1" x14ac:dyDescent="0.25">
      <c r="A264" s="316">
        <v>4</v>
      </c>
      <c r="B264" s="317" t="s">
        <v>31</v>
      </c>
      <c r="C264" s="320">
        <f>'Office Minor'!C343</f>
        <v>3</v>
      </c>
      <c r="D264" s="320">
        <f>'Office Minor'!D343</f>
        <v>917.9</v>
      </c>
      <c r="E264" s="320">
        <f>'Office Minor'!E343</f>
        <v>569846.78999999992</v>
      </c>
      <c r="F264" s="320">
        <f>'Office Minor'!F343</f>
        <v>393194285.09999996</v>
      </c>
      <c r="G264" s="320">
        <f>'Office Minor'!G343</f>
        <v>155366452</v>
      </c>
      <c r="H264" s="320">
        <f>'Office Minor'!H343</f>
        <v>45</v>
      </c>
      <c r="I264" s="523"/>
      <c r="J264" s="342">
        <f t="shared" si="59"/>
        <v>690</v>
      </c>
    </row>
    <row r="265" spans="1:10" s="334" customFormat="1" ht="17.100000000000001" customHeight="1" x14ac:dyDescent="0.25">
      <c r="A265" s="316">
        <v>5</v>
      </c>
      <c r="B265" s="317" t="s">
        <v>27</v>
      </c>
      <c r="C265" s="320">
        <f>'Office Minor'!C344</f>
        <v>1</v>
      </c>
      <c r="D265" s="320">
        <f>'Office Minor'!D344</f>
        <v>32.369999999999997</v>
      </c>
      <c r="E265" s="320">
        <f>'Office Minor'!E344</f>
        <v>16337.37</v>
      </c>
      <c r="F265" s="320">
        <f>'Office Minor'!F344</f>
        <v>31041003</v>
      </c>
      <c r="G265" s="320">
        <f>'Office Minor'!G344</f>
        <v>2813632</v>
      </c>
      <c r="H265" s="320">
        <f>'Office Minor'!H344</f>
        <v>4</v>
      </c>
      <c r="I265" s="523"/>
      <c r="J265" s="342">
        <f t="shared" si="59"/>
        <v>1900</v>
      </c>
    </row>
    <row r="266" spans="1:10" s="334" customFormat="1" ht="17.100000000000001" customHeight="1" x14ac:dyDescent="0.25">
      <c r="A266" s="316">
        <v>6</v>
      </c>
      <c r="B266" s="320" t="s">
        <v>426</v>
      </c>
      <c r="C266" s="320">
        <f>'Office Minor'!C345</f>
        <v>3</v>
      </c>
      <c r="D266" s="320">
        <f>'Office Minor'!D345</f>
        <v>14.7544</v>
      </c>
      <c r="E266" s="320">
        <f>'Office Minor'!E345</f>
        <v>126.03</v>
      </c>
      <c r="F266" s="320">
        <f>'Office Minor'!F345</f>
        <v>32767.8</v>
      </c>
      <c r="G266" s="320">
        <f>'Office Minor'!G345</f>
        <v>56000</v>
      </c>
      <c r="H266" s="320">
        <f>'Office Minor'!H345</f>
        <v>2</v>
      </c>
      <c r="I266" s="523"/>
      <c r="J266" s="342">
        <f t="shared" si="59"/>
        <v>260</v>
      </c>
    </row>
    <row r="267" spans="1:10" s="334" customFormat="1" ht="17.100000000000001" customHeight="1" x14ac:dyDescent="0.25">
      <c r="A267" s="316">
        <v>7</v>
      </c>
      <c r="B267" s="320" t="s">
        <v>390</v>
      </c>
      <c r="C267" s="320">
        <f>'Office Minor'!C346</f>
        <v>56</v>
      </c>
      <c r="D267" s="320">
        <f>'Office Minor'!D346</f>
        <v>284.76</v>
      </c>
      <c r="E267" s="320">
        <f>'Office Minor'!E346</f>
        <v>197250.61</v>
      </c>
      <c r="F267" s="320">
        <f>'Office Minor'!F346</f>
        <v>106515329.39999999</v>
      </c>
      <c r="G267" s="320">
        <f>'Office Minor'!G346</f>
        <v>20588195</v>
      </c>
      <c r="H267" s="320">
        <f>'Office Minor'!H346</f>
        <v>28</v>
      </c>
      <c r="I267" s="523"/>
      <c r="J267" s="342">
        <f t="shared" si="59"/>
        <v>540</v>
      </c>
    </row>
    <row r="268" spans="1:10" s="334" customFormat="1" ht="17.100000000000001" customHeight="1" x14ac:dyDescent="0.25">
      <c r="A268" s="316">
        <v>8</v>
      </c>
      <c r="B268" s="320" t="s">
        <v>63</v>
      </c>
      <c r="C268" s="320">
        <f>'Office Minor'!C347</f>
        <v>43</v>
      </c>
      <c r="D268" s="320">
        <f>'Office Minor'!D347</f>
        <v>47.87</v>
      </c>
      <c r="E268" s="320">
        <f>'Office Minor'!E347</f>
        <v>146729.75</v>
      </c>
      <c r="F268" s="320">
        <f>'Office Minor'!F347</f>
        <v>30813247.5</v>
      </c>
      <c r="G268" s="320">
        <f>'Office Minor'!G347</f>
        <v>19498550</v>
      </c>
      <c r="H268" s="320">
        <f>'Office Minor'!H347</f>
        <v>255</v>
      </c>
      <c r="I268" s="523"/>
      <c r="J268" s="342">
        <f t="shared" si="59"/>
        <v>210</v>
      </c>
    </row>
    <row r="269" spans="1:10" s="334" customFormat="1" ht="17.100000000000001" customHeight="1" x14ac:dyDescent="0.25">
      <c r="A269" s="316">
        <v>9</v>
      </c>
      <c r="B269" s="320" t="s">
        <v>23</v>
      </c>
      <c r="C269" s="320">
        <f>'Office Minor'!C348</f>
        <v>3</v>
      </c>
      <c r="D269" s="320">
        <f>'Office Minor'!D348</f>
        <v>13</v>
      </c>
      <c r="E269" s="320">
        <f>'Office Minor'!E348</f>
        <v>32.909999999999997</v>
      </c>
      <c r="F269" s="320">
        <f>'Office Minor'!F348</f>
        <v>14480.399999999998</v>
      </c>
      <c r="G269" s="320">
        <f>'Office Minor'!G348</f>
        <v>522386</v>
      </c>
      <c r="H269" s="320">
        <f>'Office Minor'!H348</f>
        <v>1</v>
      </c>
      <c r="I269" s="523"/>
      <c r="J269" s="342">
        <f t="shared" si="59"/>
        <v>440</v>
      </c>
    </row>
    <row r="270" spans="1:10" s="334" customFormat="1" ht="17.100000000000001" customHeight="1" x14ac:dyDescent="0.25">
      <c r="A270" s="316">
        <v>10</v>
      </c>
      <c r="B270" s="320" t="s">
        <v>59</v>
      </c>
      <c r="C270" s="320">
        <f>'Office Minor'!C349</f>
        <v>2</v>
      </c>
      <c r="D270" s="320">
        <f>'Office Minor'!D349</f>
        <v>72</v>
      </c>
      <c r="E270" s="320">
        <f>'Office Minor'!E349</f>
        <v>0</v>
      </c>
      <c r="F270" s="320">
        <f>'Office Minor'!F349</f>
        <v>0</v>
      </c>
      <c r="G270" s="320">
        <f>'Office Minor'!G349</f>
        <v>0</v>
      </c>
      <c r="H270" s="320">
        <f>'Office Minor'!H349</f>
        <v>0</v>
      </c>
      <c r="I270" s="523"/>
      <c r="J270" s="342" t="e">
        <f t="shared" si="59"/>
        <v>#DIV/0!</v>
      </c>
    </row>
    <row r="271" spans="1:10" s="334" customFormat="1" ht="17.100000000000001" customHeight="1" x14ac:dyDescent="0.25">
      <c r="A271" s="316">
        <v>11</v>
      </c>
      <c r="B271" s="320" t="s">
        <v>54</v>
      </c>
      <c r="C271" s="320">
        <f>'Office Minor'!C350</f>
        <v>9</v>
      </c>
      <c r="D271" s="320">
        <f>'Office Minor'!D350</f>
        <v>28</v>
      </c>
      <c r="E271" s="320">
        <f>'Office Minor'!E350</f>
        <v>0</v>
      </c>
      <c r="F271" s="320">
        <f>'Office Minor'!F350</f>
        <v>0</v>
      </c>
      <c r="G271" s="320">
        <f>'Office Minor'!G350</f>
        <v>0</v>
      </c>
      <c r="H271" s="320">
        <f>'Office Minor'!H350</f>
        <v>0</v>
      </c>
      <c r="I271" s="523"/>
      <c r="J271" s="342" t="e">
        <f t="shared" si="59"/>
        <v>#DIV/0!</v>
      </c>
    </row>
    <row r="272" spans="1:10" s="334" customFormat="1" ht="17.100000000000001" customHeight="1" x14ac:dyDescent="0.25">
      <c r="A272" s="316">
        <v>12</v>
      </c>
      <c r="B272" s="320" t="s">
        <v>65</v>
      </c>
      <c r="C272" s="320">
        <f>'Office Minor'!C351</f>
        <v>2</v>
      </c>
      <c r="D272" s="320">
        <f>'Office Minor'!D351</f>
        <v>2</v>
      </c>
      <c r="E272" s="320">
        <f>'Office Minor'!E351</f>
        <v>89213</v>
      </c>
      <c r="F272" s="320">
        <f>'Office Minor'!F351</f>
        <v>2497969</v>
      </c>
      <c r="G272" s="320">
        <f>'Office Minor'!G351</f>
        <v>1998375</v>
      </c>
      <c r="H272" s="320">
        <f>'Office Minor'!H351</f>
        <v>50</v>
      </c>
      <c r="I272" s="523"/>
      <c r="J272" s="342">
        <f t="shared" si="59"/>
        <v>28.000056045643571</v>
      </c>
    </row>
    <row r="273" spans="1:17" s="334" customFormat="1" ht="17.100000000000001" customHeight="1" x14ac:dyDescent="0.25">
      <c r="A273" s="316">
        <v>13</v>
      </c>
      <c r="B273" s="320" t="s">
        <v>187</v>
      </c>
      <c r="C273" s="320">
        <f>'Office Minor'!C352</f>
        <v>17</v>
      </c>
      <c r="D273" s="320">
        <f>'Office Minor'!D352</f>
        <v>21</v>
      </c>
      <c r="E273" s="320">
        <f>'Office Minor'!E352</f>
        <v>263521.11</v>
      </c>
      <c r="F273" s="320">
        <f>'Office Minor'!F352</f>
        <v>55339410</v>
      </c>
      <c r="G273" s="320">
        <f>'Office Minor'!G352</f>
        <v>8432672</v>
      </c>
      <c r="H273" s="320">
        <f>'Office Minor'!H352</f>
        <v>250</v>
      </c>
      <c r="I273" s="523"/>
      <c r="J273" s="342">
        <f t="shared" si="59"/>
        <v>209.99991234098854</v>
      </c>
    </row>
    <row r="274" spans="1:17" s="334" customFormat="1" ht="17.100000000000001" customHeight="1" x14ac:dyDescent="0.25">
      <c r="A274" s="316">
        <v>14</v>
      </c>
      <c r="B274" s="320" t="s">
        <v>625</v>
      </c>
      <c r="C274" s="320">
        <f>'Office Minor'!C353</f>
        <v>5</v>
      </c>
      <c r="D274" s="320">
        <f>'Office Minor'!D353</f>
        <v>5</v>
      </c>
      <c r="E274" s="320">
        <f>'Office Minor'!E353</f>
        <v>2260</v>
      </c>
      <c r="F274" s="320">
        <f>'Office Minor'!F353</f>
        <v>1694669</v>
      </c>
      <c r="G274" s="320">
        <f>'Office Minor'!G353</f>
        <v>321987</v>
      </c>
      <c r="H274" s="320">
        <f>'Office Minor'!H353</f>
        <v>0</v>
      </c>
      <c r="I274" s="523"/>
      <c r="J274" s="342"/>
    </row>
    <row r="275" spans="1:17" s="334" customFormat="1" ht="17.100000000000001" customHeight="1" x14ac:dyDescent="0.25">
      <c r="A275" s="896"/>
      <c r="B275" s="320" t="s">
        <v>75</v>
      </c>
      <c r="C275" s="320"/>
      <c r="D275" s="320"/>
      <c r="E275" s="320"/>
      <c r="F275" s="320"/>
      <c r="G275" s="320">
        <f>'Office Minor'!G354</f>
        <v>58882013</v>
      </c>
      <c r="H275" s="320"/>
      <c r="I275" s="523"/>
      <c r="J275" s="342"/>
    </row>
    <row r="276" spans="1:17" s="334" customFormat="1" ht="17.100000000000001" customHeight="1" x14ac:dyDescent="0.25">
      <c r="A276" s="896"/>
      <c r="B276" s="320" t="s">
        <v>49</v>
      </c>
      <c r="C276" s="320"/>
      <c r="D276" s="320"/>
      <c r="E276" s="320"/>
      <c r="F276" s="320"/>
      <c r="G276" s="320">
        <f>'Office Minor'!G355</f>
        <v>280977437</v>
      </c>
      <c r="H276" s="320"/>
      <c r="I276" s="523"/>
      <c r="J276" s="342"/>
    </row>
    <row r="277" spans="1:17" s="334" customFormat="1" ht="17.100000000000001" customHeight="1" x14ac:dyDescent="0.25">
      <c r="A277" s="1248" t="s">
        <v>50</v>
      </c>
      <c r="B277" s="1249"/>
      <c r="C277" s="897">
        <f t="shared" ref="C277:H277" si="60">SUM(C261:C276)</f>
        <v>481</v>
      </c>
      <c r="D277" s="898">
        <f t="shared" si="60"/>
        <v>2026.9243999999999</v>
      </c>
      <c r="E277" s="899">
        <f>SUM(E261:E276)</f>
        <v>1536767.69</v>
      </c>
      <c r="F277" s="900">
        <f t="shared" si="60"/>
        <v>1043855993.1999998</v>
      </c>
      <c r="G277" s="901">
        <f t="shared" si="60"/>
        <v>654958962</v>
      </c>
      <c r="H277" s="901">
        <f t="shared" si="60"/>
        <v>3785</v>
      </c>
      <c r="I277" s="524">
        <f>G277+Distt.Major!G100</f>
        <v>993883694</v>
      </c>
      <c r="J277" s="342"/>
    </row>
    <row r="278" spans="1:17" s="334" customFormat="1" ht="17.100000000000001" customHeight="1" x14ac:dyDescent="0.25">
      <c r="A278" s="902"/>
      <c r="B278" s="506"/>
      <c r="C278" s="903"/>
      <c r="D278" s="904"/>
      <c r="E278" s="905"/>
      <c r="F278" s="903"/>
      <c r="G278" s="906"/>
      <c r="H278" s="906"/>
      <c r="I278" s="523"/>
      <c r="J278" s="342"/>
      <c r="K278" s="334" t="s">
        <v>560</v>
      </c>
      <c r="L278" s="334">
        <f>'Office Minor'!C477</f>
        <v>236</v>
      </c>
      <c r="M278" s="334">
        <f>'Office Minor'!D477</f>
        <v>238.09</v>
      </c>
      <c r="N278" s="334">
        <f>'Office Minor'!E477</f>
        <v>6963277</v>
      </c>
      <c r="O278" s="334">
        <f>'Office Minor'!F477</f>
        <v>1427471807</v>
      </c>
      <c r="P278" s="334">
        <f>'Office Minor'!G477</f>
        <v>300988154</v>
      </c>
      <c r="Q278" s="334">
        <f>'Office Minor'!H477</f>
        <v>700</v>
      </c>
    </row>
    <row r="279" spans="1:17" s="334" customFormat="1" ht="17.100000000000001" customHeight="1" x14ac:dyDescent="0.25">
      <c r="A279" s="1264" t="s">
        <v>252</v>
      </c>
      <c r="B279" s="1264"/>
      <c r="C279" s="1264"/>
      <c r="D279" s="1264"/>
      <c r="E279" s="1264"/>
      <c r="F279" s="1264"/>
      <c r="G279" s="1264"/>
      <c r="H279" s="1264"/>
      <c r="I279" s="523"/>
      <c r="J279" s="342"/>
      <c r="K279" s="334" t="s">
        <v>271</v>
      </c>
      <c r="L279" s="334">
        <f>L278-L282</f>
        <v>236</v>
      </c>
      <c r="M279" s="334">
        <f t="shared" ref="M279:O279" si="61">M278-M282</f>
        <v>238.09</v>
      </c>
      <c r="N279" s="334">
        <f t="shared" si="61"/>
        <v>6963277</v>
      </c>
      <c r="O279" s="334">
        <f t="shared" si="61"/>
        <v>1427471807</v>
      </c>
      <c r="P279" s="334">
        <f t="shared" ref="P279" si="62">P278-P282</f>
        <v>300988154</v>
      </c>
      <c r="Q279" s="334">
        <f t="shared" ref="Q279" si="63">Q278-Q282</f>
        <v>700</v>
      </c>
    </row>
    <row r="280" spans="1:17" s="334" customFormat="1" ht="17.100000000000001" customHeight="1" x14ac:dyDescent="0.25">
      <c r="A280" s="1225" t="s">
        <v>182</v>
      </c>
      <c r="B280" s="1225" t="s">
        <v>3</v>
      </c>
      <c r="C280" s="1225" t="s">
        <v>4</v>
      </c>
      <c r="D280" s="834" t="s">
        <v>5</v>
      </c>
      <c r="E280" s="68" t="s">
        <v>6</v>
      </c>
      <c r="F280" s="833" t="s">
        <v>7</v>
      </c>
      <c r="G280" s="833" t="s">
        <v>8</v>
      </c>
      <c r="H280" s="68" t="s">
        <v>9</v>
      </c>
      <c r="I280" s="523"/>
      <c r="J280" s="342"/>
    </row>
    <row r="281" spans="1:17" s="334" customFormat="1" ht="17.100000000000001" customHeight="1" x14ac:dyDescent="0.25">
      <c r="A281" s="1230"/>
      <c r="B281" s="1230"/>
      <c r="C281" s="1230"/>
      <c r="D281" s="835" t="s">
        <v>78</v>
      </c>
      <c r="E281" s="835" t="s">
        <v>79</v>
      </c>
      <c r="F281" s="836" t="s">
        <v>80</v>
      </c>
      <c r="G281" s="836" t="s">
        <v>80</v>
      </c>
      <c r="H281" s="69" t="s">
        <v>13</v>
      </c>
      <c r="I281" s="523"/>
      <c r="J281" s="342"/>
      <c r="K281" s="334" t="s">
        <v>514</v>
      </c>
      <c r="L281" s="334">
        <f>'Office Minor'!C361</f>
        <v>738</v>
      </c>
      <c r="M281" s="334">
        <f>'Office Minor'!D361</f>
        <v>750.32</v>
      </c>
      <c r="N281" s="334">
        <f>'Office Minor'!E361</f>
        <v>15662317</v>
      </c>
      <c r="O281" s="334">
        <f>'Office Minor'!F361</f>
        <v>3445709819</v>
      </c>
      <c r="P281" s="334">
        <f>'Office Minor'!G361</f>
        <v>639094830</v>
      </c>
      <c r="Q281" s="334">
        <f>'Office Minor'!H361</f>
        <v>11000</v>
      </c>
    </row>
    <row r="282" spans="1:17" s="334" customFormat="1" ht="17.100000000000001" customHeight="1" x14ac:dyDescent="0.25">
      <c r="A282" s="316">
        <v>1</v>
      </c>
      <c r="B282" s="320" t="s">
        <v>63</v>
      </c>
      <c r="C282" s="320">
        <f>'Office Minor'!C477+'Office Minor'!C361</f>
        <v>974</v>
      </c>
      <c r="D282" s="320">
        <f>'Office Minor'!D477+'Office Minor'!D361</f>
        <v>988.41000000000008</v>
      </c>
      <c r="E282" s="320">
        <f>'Office Minor'!E477+'Office Minor'!E361</f>
        <v>22625594</v>
      </c>
      <c r="F282" s="320">
        <f>'Office Minor'!F477+'Office Minor'!F361</f>
        <v>4873181626</v>
      </c>
      <c r="G282" s="320">
        <f>'Office Minor'!G477+'Office Minor'!G361</f>
        <v>940082984</v>
      </c>
      <c r="H282" s="320">
        <f>'Office Minor'!H477+'Office Minor'!H361</f>
        <v>11700</v>
      </c>
      <c r="I282" s="523"/>
      <c r="J282" s="342">
        <f>F282/E282</f>
        <v>215.38358842645192</v>
      </c>
      <c r="K282" s="334" t="s">
        <v>515</v>
      </c>
      <c r="L282" s="423"/>
      <c r="M282" s="423"/>
      <c r="N282" s="423"/>
      <c r="O282" s="423"/>
      <c r="P282" s="423"/>
      <c r="Q282" s="423"/>
    </row>
    <row r="283" spans="1:17" s="334" customFormat="1" ht="17.100000000000001" customHeight="1" x14ac:dyDescent="0.25">
      <c r="A283" s="316">
        <v>2</v>
      </c>
      <c r="B283" s="320" t="s">
        <v>62</v>
      </c>
      <c r="C283" s="320">
        <f>'Office Minor'!C362+'Office Minor'!C479</f>
        <v>30</v>
      </c>
      <c r="D283" s="320">
        <f>'Office Minor'!D362+'Office Minor'!D479</f>
        <v>56.42</v>
      </c>
      <c r="E283" s="320">
        <f>'Office Minor'!E362+'Office Minor'!E479</f>
        <v>138583</v>
      </c>
      <c r="F283" s="320">
        <f>'Office Minor'!F362+'Office Minor'!F479</f>
        <v>254719301</v>
      </c>
      <c r="G283" s="320">
        <f>'Office Minor'!G362+'Office Minor'!G479</f>
        <v>24868855</v>
      </c>
      <c r="H283" s="320">
        <f>'Office Minor'!H362+'Office Minor'!H479</f>
        <v>175</v>
      </c>
      <c r="I283" s="523"/>
      <c r="J283" s="342">
        <f t="shared" ref="J283:J302" si="64">F283/E283</f>
        <v>1838.0270379483775</v>
      </c>
      <c r="L283" s="707">
        <f t="shared" ref="L283:Q283" si="65">L281+L282</f>
        <v>738</v>
      </c>
      <c r="M283" s="707">
        <f t="shared" si="65"/>
        <v>750.32</v>
      </c>
      <c r="N283" s="707">
        <f t="shared" si="65"/>
        <v>15662317</v>
      </c>
      <c r="O283" s="707">
        <f t="shared" si="65"/>
        <v>3445709819</v>
      </c>
      <c r="P283" s="707">
        <f t="shared" si="65"/>
        <v>639094830</v>
      </c>
      <c r="Q283" s="707">
        <f t="shared" si="65"/>
        <v>11000</v>
      </c>
    </row>
    <row r="284" spans="1:17" s="334" customFormat="1" ht="17.100000000000001" customHeight="1" x14ac:dyDescent="0.25">
      <c r="A284" s="316">
        <v>3</v>
      </c>
      <c r="B284" s="320" t="s">
        <v>65</v>
      </c>
      <c r="C284" s="320">
        <f>'Office Minor'!C480</f>
        <v>0</v>
      </c>
      <c r="D284" s="320">
        <f>'Office Minor'!D480</f>
        <v>0</v>
      </c>
      <c r="E284" s="320">
        <f>'Office Minor'!E480</f>
        <v>2095</v>
      </c>
      <c r="F284" s="320">
        <f>'Office Minor'!F480</f>
        <v>73325</v>
      </c>
      <c r="G284" s="320">
        <f>'Office Minor'!G480</f>
        <v>1143150</v>
      </c>
      <c r="H284" s="320">
        <f>'Office Minor'!H480</f>
        <v>10</v>
      </c>
      <c r="I284" s="523"/>
      <c r="J284" s="342"/>
      <c r="L284" s="707"/>
      <c r="M284" s="707"/>
      <c r="N284" s="707"/>
      <c r="O284" s="707"/>
      <c r="P284" s="707"/>
      <c r="Q284" s="707"/>
    </row>
    <row r="285" spans="1:17" s="334" customFormat="1" ht="17.100000000000001" customHeight="1" x14ac:dyDescent="0.25">
      <c r="A285" s="316">
        <v>4</v>
      </c>
      <c r="B285" s="320" t="s">
        <v>60</v>
      </c>
      <c r="C285" s="320">
        <f>'Office Minor'!C363</f>
        <v>4</v>
      </c>
      <c r="D285" s="320">
        <f>'Office Minor'!D363</f>
        <v>11</v>
      </c>
      <c r="E285" s="320">
        <f>'Office Minor'!E363</f>
        <v>0</v>
      </c>
      <c r="F285" s="320">
        <f>'Office Minor'!F363</f>
        <v>0</v>
      </c>
      <c r="G285" s="320">
        <f>'Office Minor'!G363</f>
        <v>0</v>
      </c>
      <c r="H285" s="320">
        <f>'Office Minor'!H363</f>
        <v>0</v>
      </c>
      <c r="I285" s="523"/>
      <c r="J285" s="342" t="e">
        <f t="shared" si="64"/>
        <v>#DIV/0!</v>
      </c>
    </row>
    <row r="286" spans="1:17" s="334" customFormat="1" ht="17.100000000000001" customHeight="1" x14ac:dyDescent="0.25">
      <c r="A286" s="316">
        <v>5</v>
      </c>
      <c r="B286" s="320" t="s">
        <v>144</v>
      </c>
      <c r="C286" s="320">
        <f>'Office Minor'!C478</f>
        <v>5</v>
      </c>
      <c r="D286" s="320">
        <f>'Office Minor'!D478</f>
        <v>119.01</v>
      </c>
      <c r="E286" s="320">
        <f>'Office Minor'!E478</f>
        <v>48726</v>
      </c>
      <c r="F286" s="320">
        <f>'Office Minor'!F478</f>
        <v>56035943</v>
      </c>
      <c r="G286" s="320">
        <f>'Office Minor'!G478</f>
        <v>60252606</v>
      </c>
      <c r="H286" s="320">
        <f>'Office Minor'!H478</f>
        <v>35</v>
      </c>
      <c r="I286" s="523"/>
      <c r="J286" s="342"/>
    </row>
    <row r="287" spans="1:17" s="334" customFormat="1" ht="17.100000000000001" customHeight="1" x14ac:dyDescent="0.25">
      <c r="A287" s="316">
        <v>6</v>
      </c>
      <c r="B287" s="317" t="s">
        <v>25</v>
      </c>
      <c r="C287" s="320">
        <f>'Office Minor'!C491</f>
        <v>0</v>
      </c>
      <c r="D287" s="320">
        <f>'Office Minor'!D491</f>
        <v>0</v>
      </c>
      <c r="E287" s="320">
        <f>'Office Minor'!E491</f>
        <v>0</v>
      </c>
      <c r="F287" s="320">
        <f>'Office Minor'!F491</f>
        <v>0</v>
      </c>
      <c r="G287" s="320">
        <f>'Office Minor'!G491</f>
        <v>0</v>
      </c>
      <c r="H287" s="320">
        <f>'Office Minor'!H491</f>
        <v>0</v>
      </c>
      <c r="I287" s="523"/>
      <c r="J287" s="342" t="e">
        <f t="shared" si="64"/>
        <v>#DIV/0!</v>
      </c>
    </row>
    <row r="288" spans="1:17" s="334" customFormat="1" ht="17.100000000000001" customHeight="1" x14ac:dyDescent="0.25">
      <c r="A288" s="316">
        <v>7</v>
      </c>
      <c r="B288" s="320" t="s">
        <v>58</v>
      </c>
      <c r="C288" s="320">
        <f>'Office Minor'!C364</f>
        <v>31</v>
      </c>
      <c r="D288" s="320">
        <f>'Office Minor'!D364</f>
        <v>53.56</v>
      </c>
      <c r="E288" s="320">
        <f>'Office Minor'!E364</f>
        <v>205478</v>
      </c>
      <c r="F288" s="320">
        <f>'Office Minor'!F364</f>
        <v>431503800</v>
      </c>
      <c r="G288" s="320">
        <f>'Office Minor'!G364</f>
        <v>53077591</v>
      </c>
      <c r="H288" s="320">
        <f>'Office Minor'!H364</f>
        <v>85</v>
      </c>
      <c r="I288" s="523"/>
      <c r="J288" s="342">
        <f t="shared" si="64"/>
        <v>2100</v>
      </c>
      <c r="K288" s="63" t="s">
        <v>516</v>
      </c>
      <c r="L288" s="334">
        <f>'Office Minor'!C365</f>
        <v>0</v>
      </c>
      <c r="M288" s="334">
        <f>'Office Minor'!D365</f>
        <v>0</v>
      </c>
      <c r="N288" s="334">
        <f>'Office Minor'!E365</f>
        <v>188766</v>
      </c>
      <c r="O288" s="334">
        <f>'Office Minor'!F365</f>
        <v>41528527</v>
      </c>
      <c r="P288" s="334">
        <f>'Office Minor'!G365</f>
        <v>37079042</v>
      </c>
      <c r="Q288" s="334">
        <f>'Office Minor'!H365</f>
        <v>4800</v>
      </c>
    </row>
    <row r="289" spans="1:17" s="334" customFormat="1" ht="17.100000000000001" customHeight="1" x14ac:dyDescent="0.25">
      <c r="A289" s="316">
        <v>8</v>
      </c>
      <c r="B289" s="320" t="s">
        <v>54</v>
      </c>
      <c r="C289" s="320">
        <f>'Office Minor'!C482+'Office Minor'!C365</f>
        <v>0</v>
      </c>
      <c r="D289" s="320">
        <f>'Office Minor'!D482+'Office Minor'!D365</f>
        <v>0</v>
      </c>
      <c r="E289" s="320">
        <f>'Office Minor'!E482+'Office Minor'!E365</f>
        <v>1034734</v>
      </c>
      <c r="F289" s="320">
        <f>'Office Minor'!F482+'Office Minor'!F365</f>
        <v>210722127</v>
      </c>
      <c r="G289" s="320">
        <f>'Office Minor'!G482+'Office Minor'!G365</f>
        <v>58228242</v>
      </c>
      <c r="H289" s="320">
        <f>'Office Minor'!H482+'Office Minor'!H365</f>
        <v>4850</v>
      </c>
      <c r="I289" s="523"/>
      <c r="J289" s="342">
        <f t="shared" si="64"/>
        <v>203.6485966441617</v>
      </c>
      <c r="K289" s="334" t="s">
        <v>515</v>
      </c>
      <c r="L289" s="423"/>
      <c r="M289" s="423"/>
      <c r="N289" s="216">
        <f>390175.31</f>
        <v>390175.31</v>
      </c>
      <c r="O289" s="217">
        <f>89740321.88</f>
        <v>89740321.879999995</v>
      </c>
      <c r="P289" s="217">
        <f>12485610</f>
        <v>12485610</v>
      </c>
      <c r="Q289" s="217">
        <v>290</v>
      </c>
    </row>
    <row r="290" spans="1:17" s="334" customFormat="1" ht="17.100000000000001" customHeight="1" x14ac:dyDescent="0.25">
      <c r="A290" s="316">
        <v>9</v>
      </c>
      <c r="B290" s="317" t="s">
        <v>44</v>
      </c>
      <c r="C290" s="320">
        <f>'Office Minor'!C367+'Office Minor'!C489</f>
        <v>5</v>
      </c>
      <c r="D290" s="320">
        <f>'Office Minor'!D367+'Office Minor'!D489</f>
        <v>197.39</v>
      </c>
      <c r="E290" s="320">
        <f>'Office Minor'!E367+'Office Minor'!E489</f>
        <v>11612.630000000001</v>
      </c>
      <c r="F290" s="320">
        <f>'Office Minor'!F367+'Office Minor'!F489</f>
        <v>5525362</v>
      </c>
      <c r="G290" s="320">
        <f>'Office Minor'!G367+'Office Minor'!G489</f>
        <v>4772205.45</v>
      </c>
      <c r="H290" s="320">
        <f>'Office Minor'!H367+'Office Minor'!H489</f>
        <v>95</v>
      </c>
      <c r="I290" s="523"/>
      <c r="J290" s="342">
        <f t="shared" si="64"/>
        <v>475.80625577496221</v>
      </c>
    </row>
    <row r="291" spans="1:17" s="334" customFormat="1" ht="17.100000000000001" customHeight="1" x14ac:dyDescent="0.25">
      <c r="A291" s="316">
        <v>10</v>
      </c>
      <c r="B291" s="907" t="s">
        <v>26</v>
      </c>
      <c r="C291" s="320">
        <f>'Office Minor'!C368+'Office Minor'!C486</f>
        <v>4</v>
      </c>
      <c r="D291" s="320">
        <f>'Office Minor'!D368+'Office Minor'!D486</f>
        <v>884.45</v>
      </c>
      <c r="E291" s="320">
        <f>'Office Minor'!E368+'Office Minor'!E486</f>
        <v>95392</v>
      </c>
      <c r="F291" s="320">
        <f>'Office Minor'!F368+'Office Minor'!F486</f>
        <v>41018818</v>
      </c>
      <c r="G291" s="320">
        <f>'Office Minor'!G368+'Office Minor'!G486</f>
        <v>8281292</v>
      </c>
      <c r="H291" s="320">
        <f>'Office Minor'!H368+'Office Minor'!H486</f>
        <v>20</v>
      </c>
      <c r="I291" s="523"/>
      <c r="J291" s="342">
        <f t="shared" si="64"/>
        <v>430.002704629319</v>
      </c>
      <c r="P291" s="342">
        <f>'Office Minor'!G482</f>
        <v>21149200</v>
      </c>
    </row>
    <row r="292" spans="1:17" s="334" customFormat="1" ht="17.100000000000001" customHeight="1" x14ac:dyDescent="0.25">
      <c r="A292" s="316">
        <v>11</v>
      </c>
      <c r="B292" s="862" t="s">
        <v>41</v>
      </c>
      <c r="C292" s="320">
        <f>'Office Minor'!C369+'Office Minor'!C484</f>
        <v>88</v>
      </c>
      <c r="D292" s="320">
        <f>'Office Minor'!D369+'Office Minor'!D484</f>
        <v>776.74</v>
      </c>
      <c r="E292" s="320">
        <f>'Office Minor'!E369+'Office Minor'!E484</f>
        <v>3867196</v>
      </c>
      <c r="F292" s="320">
        <f>'Office Minor'!F369+'Office Minor'!F484</f>
        <v>2968972367</v>
      </c>
      <c r="G292" s="320">
        <f>'Office Minor'!G369+'Office Minor'!G484</f>
        <v>328028402</v>
      </c>
      <c r="H292" s="320">
        <f>'Office Minor'!H369+'Office Minor'!H484</f>
        <v>1270</v>
      </c>
      <c r="I292" s="523"/>
      <c r="J292" s="342">
        <f t="shared" si="64"/>
        <v>767.73258117768012</v>
      </c>
      <c r="P292" s="342">
        <f>P291-P289</f>
        <v>8663590</v>
      </c>
    </row>
    <row r="293" spans="1:17" s="334" customFormat="1" ht="17.100000000000001" customHeight="1" x14ac:dyDescent="0.25">
      <c r="A293" s="316">
        <v>12</v>
      </c>
      <c r="B293" s="317" t="s">
        <v>394</v>
      </c>
      <c r="C293" s="320">
        <f>'Office Minor'!C487</f>
        <v>2</v>
      </c>
      <c r="D293" s="320">
        <f>'Office Minor'!D487</f>
        <v>225.9</v>
      </c>
      <c r="E293" s="320">
        <f>'Office Minor'!E487</f>
        <v>0</v>
      </c>
      <c r="F293" s="320">
        <f>'Office Minor'!F487</f>
        <v>0</v>
      </c>
      <c r="G293" s="320">
        <f>'Office Minor'!G487</f>
        <v>0</v>
      </c>
      <c r="H293" s="320">
        <f>'Office Minor'!H487</f>
        <v>0</v>
      </c>
      <c r="I293" s="523"/>
      <c r="J293" s="342" t="e">
        <f t="shared" si="64"/>
        <v>#DIV/0!</v>
      </c>
      <c r="K293" s="334" t="s">
        <v>561</v>
      </c>
      <c r="L293" s="334">
        <f>'Office Minor'!C482</f>
        <v>0</v>
      </c>
      <c r="M293" s="334">
        <f>'Office Minor'!D482</f>
        <v>0</v>
      </c>
      <c r="N293" s="334">
        <f>'Office Minor'!E482</f>
        <v>845968</v>
      </c>
      <c r="O293" s="334">
        <f>'Office Minor'!F482</f>
        <v>169193600</v>
      </c>
      <c r="P293" s="334">
        <f>'Office Minor'!G482</f>
        <v>21149200</v>
      </c>
      <c r="Q293" s="334">
        <f>'Office Minor'!H482</f>
        <v>50</v>
      </c>
    </row>
    <row r="294" spans="1:17" s="334" customFormat="1" ht="17.100000000000001" customHeight="1" x14ac:dyDescent="0.25">
      <c r="A294" s="316">
        <v>13</v>
      </c>
      <c r="B294" s="317" t="str">
        <f>'Office Minor'!B490</f>
        <v>Red Ocher</v>
      </c>
      <c r="C294" s="317">
        <f>'Office Minor'!C490</f>
        <v>0</v>
      </c>
      <c r="D294" s="317">
        <f>'Office Minor'!D490</f>
        <v>0</v>
      </c>
      <c r="E294" s="317">
        <f>'Office Minor'!E490</f>
        <v>0</v>
      </c>
      <c r="F294" s="317">
        <f>'Office Minor'!F490</f>
        <v>0</v>
      </c>
      <c r="G294" s="317">
        <f>'Office Minor'!G490</f>
        <v>0</v>
      </c>
      <c r="H294" s="317">
        <f>'Office Minor'!H490</f>
        <v>0</v>
      </c>
      <c r="I294" s="523"/>
      <c r="J294" s="342"/>
    </row>
    <row r="295" spans="1:17" s="334" customFormat="1" ht="17.100000000000001" customHeight="1" x14ac:dyDescent="0.25">
      <c r="A295" s="316">
        <v>14</v>
      </c>
      <c r="B295" s="317" t="s">
        <v>40</v>
      </c>
      <c r="C295" s="320">
        <f>'Office Minor'!C485+'Office Minor'!C370</f>
        <v>4</v>
      </c>
      <c r="D295" s="320">
        <f>'Office Minor'!D485+'Office Minor'!D370</f>
        <v>229.87</v>
      </c>
      <c r="E295" s="320">
        <f>'Office Minor'!E485+'Office Minor'!E370</f>
        <v>1495</v>
      </c>
      <c r="F295" s="320">
        <f>'Office Minor'!F485+'Office Minor'!F370</f>
        <v>897468</v>
      </c>
      <c r="G295" s="320">
        <f>'Office Minor'!G485+'Office Minor'!G370</f>
        <v>130133</v>
      </c>
      <c r="H295" s="320">
        <f>'Office Minor'!H485+'Office Minor'!H370</f>
        <v>30</v>
      </c>
      <c r="I295" s="523"/>
      <c r="J295" s="342">
        <f t="shared" si="64"/>
        <v>600.31304347826085</v>
      </c>
      <c r="K295" s="334" t="s">
        <v>271</v>
      </c>
      <c r="L295" s="334">
        <f t="shared" ref="L295:Q295" si="66">L293-L289</f>
        <v>0</v>
      </c>
      <c r="M295" s="334">
        <f t="shared" si="66"/>
        <v>0</v>
      </c>
      <c r="N295" s="334">
        <f t="shared" si="66"/>
        <v>455792.69</v>
      </c>
      <c r="O295" s="334">
        <f t="shared" si="66"/>
        <v>79453278.120000005</v>
      </c>
      <c r="P295" s="334">
        <f t="shared" si="66"/>
        <v>8663590</v>
      </c>
      <c r="Q295" s="334">
        <f t="shared" si="66"/>
        <v>-240</v>
      </c>
    </row>
    <row r="296" spans="1:17" s="334" customFormat="1" ht="17.100000000000001" customHeight="1" x14ac:dyDescent="0.25">
      <c r="A296" s="316">
        <v>15</v>
      </c>
      <c r="B296" s="331" t="s">
        <v>68</v>
      </c>
      <c r="C296" s="320">
        <f>'Office Minor'!C492+'Office Minor'!C371</f>
        <v>4</v>
      </c>
      <c r="D296" s="320">
        <f>'Office Minor'!D492+'Office Minor'!D371</f>
        <v>38.44</v>
      </c>
      <c r="E296" s="320">
        <f>'Office Minor'!E492+'Office Minor'!E371</f>
        <v>4696</v>
      </c>
      <c r="F296" s="320">
        <f>'Office Minor'!F492+'Office Minor'!F371</f>
        <v>1174040</v>
      </c>
      <c r="G296" s="320">
        <f>'Office Minor'!G492+'Office Minor'!G371</f>
        <v>730551</v>
      </c>
      <c r="H296" s="320">
        <f>'Office Minor'!H492+'Office Minor'!H371</f>
        <v>28</v>
      </c>
      <c r="I296" s="523"/>
      <c r="J296" s="342">
        <f t="shared" si="64"/>
        <v>250.0085178875639</v>
      </c>
    </row>
    <row r="297" spans="1:17" s="334" customFormat="1" ht="17.100000000000001" customHeight="1" x14ac:dyDescent="0.25">
      <c r="A297" s="316">
        <v>16</v>
      </c>
      <c r="B297" s="907" t="s">
        <v>46</v>
      </c>
      <c r="C297" s="320">
        <f>'Office Minor'!C372</f>
        <v>4</v>
      </c>
      <c r="D297" s="320">
        <f>'Office Minor'!D372</f>
        <v>72.55</v>
      </c>
      <c r="E297" s="320">
        <f>'Office Minor'!E372</f>
        <v>1044</v>
      </c>
      <c r="F297" s="320">
        <f>'Office Minor'!F372</f>
        <v>835200</v>
      </c>
      <c r="G297" s="320">
        <f>'Office Minor'!G372</f>
        <v>1701239</v>
      </c>
      <c r="H297" s="320">
        <f>'Office Minor'!H372</f>
        <v>15</v>
      </c>
      <c r="I297" s="523"/>
      <c r="J297" s="342">
        <f t="shared" si="64"/>
        <v>800</v>
      </c>
    </row>
    <row r="298" spans="1:17" s="334" customFormat="1" ht="17.100000000000001" customHeight="1" x14ac:dyDescent="0.25">
      <c r="A298" s="316">
        <v>17</v>
      </c>
      <c r="B298" s="907" t="s">
        <v>59</v>
      </c>
      <c r="C298" s="320">
        <f>'Office Minor'!C483+'Office Minor'!C366</f>
        <v>1</v>
      </c>
      <c r="D298" s="320">
        <f>'Office Minor'!D483+'Office Minor'!D366</f>
        <v>954.15</v>
      </c>
      <c r="E298" s="320">
        <f>'Office Minor'!E483+'Office Minor'!E366</f>
        <v>98095</v>
      </c>
      <c r="F298" s="320">
        <f>'Office Minor'!F483+'Office Minor'!F366</f>
        <v>73599059</v>
      </c>
      <c r="G298" s="320">
        <f>'Office Minor'!G483+'Office Minor'!G366</f>
        <v>10566166</v>
      </c>
      <c r="H298" s="320">
        <f>'Office Minor'!H483+'Office Minor'!H366</f>
        <v>370</v>
      </c>
      <c r="I298" s="523"/>
      <c r="J298" s="342"/>
    </row>
    <row r="299" spans="1:17" s="334" customFormat="1" ht="17.100000000000001" customHeight="1" x14ac:dyDescent="0.25">
      <c r="A299" s="316">
        <v>18</v>
      </c>
      <c r="B299" s="907" t="s">
        <v>27</v>
      </c>
      <c r="C299" s="320">
        <f>'Office Minor'!C373+'Office Minor'!C488+'Office Minor'!C52</f>
        <v>3</v>
      </c>
      <c r="D299" s="320">
        <f>'Office Minor'!D373+'Office Minor'!D488+'Office Minor'!D52</f>
        <v>126.37</v>
      </c>
      <c r="E299" s="320">
        <f>'Office Minor'!E373+'Office Minor'!E488+'Office Minor'!E52</f>
        <v>40449</v>
      </c>
      <c r="F299" s="320">
        <f>'Office Minor'!F373+'Office Minor'!F488+'Office Minor'!F52</f>
        <v>68619444</v>
      </c>
      <c r="G299" s="320">
        <f>'Office Minor'!G373+'Office Minor'!G488+'Office Minor'!G52</f>
        <v>5904027</v>
      </c>
      <c r="H299" s="320">
        <f>'Office Minor'!H373+'Office Minor'!H488+'Office Minor'!H52</f>
        <v>150</v>
      </c>
      <c r="I299" s="981" t="s">
        <v>647</v>
      </c>
      <c r="J299" s="342">
        <f t="shared" si="64"/>
        <v>1696.4435214714827</v>
      </c>
      <c r="K299" s="334" t="s">
        <v>562</v>
      </c>
      <c r="O299" s="342" t="e">
        <f>'Office Minor'!#REF!</f>
        <v>#REF!</v>
      </c>
    </row>
    <row r="300" spans="1:17" s="334" customFormat="1" ht="17.100000000000001" customHeight="1" x14ac:dyDescent="0.25">
      <c r="A300" s="316">
        <v>19</v>
      </c>
      <c r="B300" s="886" t="s">
        <v>253</v>
      </c>
      <c r="C300" s="320">
        <f>'Office Minor'!C374</f>
        <v>1</v>
      </c>
      <c r="D300" s="320">
        <f>'Office Minor'!D374</f>
        <v>4.9800000000000004</v>
      </c>
      <c r="E300" s="320">
        <f>'Office Minor'!E374</f>
        <v>0</v>
      </c>
      <c r="F300" s="320">
        <f>'Office Minor'!F374</f>
        <v>0</v>
      </c>
      <c r="G300" s="320">
        <f>'Office Minor'!G374</f>
        <v>0</v>
      </c>
      <c r="H300" s="320">
        <f>'Office Minor'!H374</f>
        <v>0</v>
      </c>
      <c r="I300" s="523"/>
      <c r="J300" s="342" t="e">
        <f t="shared" si="64"/>
        <v>#DIV/0!</v>
      </c>
      <c r="N300" s="748" t="s">
        <v>564</v>
      </c>
      <c r="O300" s="748" t="s">
        <v>563</v>
      </c>
    </row>
    <row r="301" spans="1:17" s="334" customFormat="1" ht="17.100000000000001" customHeight="1" x14ac:dyDescent="0.25">
      <c r="A301" s="316">
        <v>20</v>
      </c>
      <c r="B301" s="940" t="s">
        <v>73</v>
      </c>
      <c r="C301" s="320">
        <f>'Office Minor'!C481</f>
        <v>9</v>
      </c>
      <c r="D301" s="320">
        <f>'Office Minor'!D481</f>
        <v>26.99</v>
      </c>
      <c r="E301" s="320">
        <f>'Office Minor'!E481</f>
        <v>656</v>
      </c>
      <c r="F301" s="320">
        <f>'Office Minor'!F481</f>
        <v>1313060</v>
      </c>
      <c r="G301" s="320">
        <f>'Office Minor'!G481</f>
        <v>443218</v>
      </c>
      <c r="H301" s="320">
        <f>'Office Minor'!H481</f>
        <v>10</v>
      </c>
      <c r="I301" s="523"/>
      <c r="J301" s="342"/>
      <c r="N301" s="748"/>
      <c r="O301" s="748"/>
    </row>
    <row r="302" spans="1:17" s="529" customFormat="1" ht="17.100000000000001" customHeight="1" x14ac:dyDescent="0.25">
      <c r="A302" s="891"/>
      <c r="B302" s="861" t="s">
        <v>75</v>
      </c>
      <c r="C302" s="320">
        <f>'Office Minor'!C375+'Office Minor'!C493</f>
        <v>0</v>
      </c>
      <c r="D302" s="320">
        <f>'Office Minor'!D375+'Office Minor'!D493</f>
        <v>0</v>
      </c>
      <c r="E302" s="320">
        <f>'Office Minor'!E375+'Office Minor'!E493</f>
        <v>0</v>
      </c>
      <c r="F302" s="320">
        <f>'Office Minor'!F375+'Office Minor'!F493</f>
        <v>0</v>
      </c>
      <c r="G302" s="320">
        <f>'Office Minor'!G375+'Office Minor'!G493</f>
        <v>52495625</v>
      </c>
      <c r="H302" s="320">
        <f>'Office Minor'!H375+'Office Minor'!H493</f>
        <v>0</v>
      </c>
      <c r="I302" s="524">
        <f>Distt.Major!G93</f>
        <v>377206780</v>
      </c>
      <c r="J302" s="342" t="e">
        <f t="shared" si="64"/>
        <v>#DIV/0!</v>
      </c>
      <c r="M302" s="529" t="s">
        <v>565</v>
      </c>
      <c r="N302" s="708">
        <f>'Office Minor'!G375</f>
        <v>52495625</v>
      </c>
      <c r="O302" s="708">
        <v>19592391.098999999</v>
      </c>
      <c r="P302" s="708">
        <f>N302+O302</f>
        <v>72088016.099000007</v>
      </c>
    </row>
    <row r="303" spans="1:17" s="334" customFormat="1" ht="17.100000000000001" customHeight="1" x14ac:dyDescent="0.25">
      <c r="A303" s="316"/>
      <c r="B303" s="320" t="s">
        <v>49</v>
      </c>
      <c r="C303" s="320">
        <f>'Office Minor'!C376+'Office Minor'!C494</f>
        <v>0</v>
      </c>
      <c r="D303" s="320">
        <f>'Office Minor'!D376+'Office Minor'!D494</f>
        <v>0</v>
      </c>
      <c r="E303" s="320">
        <f>'Office Minor'!E376+'Office Minor'!E494</f>
        <v>0</v>
      </c>
      <c r="F303" s="320">
        <f>'Office Minor'!F376+'Office Minor'!F494</f>
        <v>0</v>
      </c>
      <c r="G303" s="320">
        <f>'Office Minor'!G376+'Office Minor'!G494</f>
        <v>320418165</v>
      </c>
      <c r="H303" s="320">
        <f>'Office Minor'!H376+'Office Minor'!H494</f>
        <v>0</v>
      </c>
      <c r="I303" s="523"/>
      <c r="J303" s="342"/>
      <c r="M303" s="334" t="s">
        <v>566</v>
      </c>
      <c r="N303" s="708">
        <f>'Office Minor'!G376</f>
        <v>290374245</v>
      </c>
      <c r="O303" s="708">
        <f>'Office Minor'!H376</f>
        <v>0</v>
      </c>
      <c r="P303" s="342">
        <f>N303+O303</f>
        <v>290374245</v>
      </c>
    </row>
    <row r="304" spans="1:17" s="334" customFormat="1" ht="17.100000000000001" customHeight="1" x14ac:dyDescent="0.25">
      <c r="A304" s="1271" t="s">
        <v>50</v>
      </c>
      <c r="B304" s="1272"/>
      <c r="C304" s="499">
        <f>SUM(C282:C303)</f>
        <v>1169</v>
      </c>
      <c r="D304" s="499">
        <f t="shared" ref="D304:G304" si="67">SUM(D282:D303)</f>
        <v>4766.2299999999987</v>
      </c>
      <c r="E304" s="499">
        <f t="shared" si="67"/>
        <v>28175845.629999999</v>
      </c>
      <c r="F304" s="499">
        <f t="shared" si="67"/>
        <v>8988190940</v>
      </c>
      <c r="G304" s="499">
        <f t="shared" si="67"/>
        <v>1871124451.45</v>
      </c>
      <c r="H304" s="499">
        <f>SUM(H282:H303)</f>
        <v>18843</v>
      </c>
      <c r="I304" s="523"/>
      <c r="J304" s="342"/>
    </row>
    <row r="305" spans="1:17" s="334" customFormat="1" ht="17.100000000000001" customHeight="1" x14ac:dyDescent="0.25">
      <c r="A305" s="513"/>
      <c r="B305" s="513"/>
      <c r="C305" s="1274" t="s">
        <v>645</v>
      </c>
      <c r="D305" s="1274"/>
      <c r="E305" s="1274"/>
      <c r="F305" s="1274"/>
      <c r="G305" s="1274"/>
      <c r="H305" s="513"/>
      <c r="I305" s="523"/>
      <c r="J305" s="342"/>
    </row>
    <row r="306" spans="1:17" s="334" customFormat="1" ht="17.100000000000001" customHeight="1" x14ac:dyDescent="0.25">
      <c r="A306" s="1264" t="s">
        <v>255</v>
      </c>
      <c r="B306" s="1264"/>
      <c r="C306" s="1264"/>
      <c r="D306" s="1264"/>
      <c r="E306" s="1264"/>
      <c r="F306" s="1264"/>
      <c r="G306" s="1264"/>
      <c r="H306" s="1264"/>
      <c r="I306" s="523"/>
      <c r="J306" s="342"/>
    </row>
    <row r="307" spans="1:17" s="334" customFormat="1" ht="17.100000000000001" customHeight="1" x14ac:dyDescent="0.25">
      <c r="A307" s="1225" t="s">
        <v>182</v>
      </c>
      <c r="B307" s="1225" t="s">
        <v>3</v>
      </c>
      <c r="C307" s="1225" t="s">
        <v>4</v>
      </c>
      <c r="D307" s="834" t="s">
        <v>5</v>
      </c>
      <c r="E307" s="68" t="s">
        <v>6</v>
      </c>
      <c r="F307" s="833" t="s">
        <v>7</v>
      </c>
      <c r="G307" s="833" t="s">
        <v>8</v>
      </c>
      <c r="H307" s="68" t="s">
        <v>9</v>
      </c>
      <c r="I307" s="523"/>
      <c r="J307" s="342"/>
    </row>
    <row r="308" spans="1:17" s="334" customFormat="1" ht="17.100000000000001" customHeight="1" x14ac:dyDescent="0.25">
      <c r="A308" s="1230"/>
      <c r="B308" s="1230"/>
      <c r="C308" s="1230"/>
      <c r="D308" s="835" t="s">
        <v>78</v>
      </c>
      <c r="E308" s="835" t="s">
        <v>79</v>
      </c>
      <c r="F308" s="836" t="s">
        <v>80</v>
      </c>
      <c r="G308" s="836" t="s">
        <v>80</v>
      </c>
      <c r="H308" s="69" t="s">
        <v>13</v>
      </c>
      <c r="I308" s="523"/>
      <c r="J308" s="342"/>
    </row>
    <row r="309" spans="1:17" s="334" customFormat="1" ht="17.100000000000001" customHeight="1" x14ac:dyDescent="0.25">
      <c r="A309" s="316">
        <v>1</v>
      </c>
      <c r="B309" s="320" t="s">
        <v>58</v>
      </c>
      <c r="C309" s="320">
        <f>'Office Minor'!C382</f>
        <v>352</v>
      </c>
      <c r="D309" s="320">
        <f>'Office Minor'!D382</f>
        <v>757.17700000000002</v>
      </c>
      <c r="E309" s="320">
        <f>'Office Minor'!E382</f>
        <v>925819.37</v>
      </c>
      <c r="F309" s="320">
        <f>'Office Minor'!F382</f>
        <v>1990511646</v>
      </c>
      <c r="G309" s="320">
        <f>'Office Minor'!G382</f>
        <v>268487545</v>
      </c>
      <c r="H309" s="320">
        <f>'Office Minor'!H382</f>
        <v>2272</v>
      </c>
      <c r="I309" s="523"/>
      <c r="J309" s="342">
        <f>F309/E309</f>
        <v>2150.000000540062</v>
      </c>
      <c r="K309" s="334">
        <f>'Office Minor'!C382</f>
        <v>352</v>
      </c>
      <c r="L309" s="334">
        <f>'Office Minor'!D382</f>
        <v>757.17700000000002</v>
      </c>
      <c r="M309" s="334">
        <f>'Office Minor'!E382</f>
        <v>925819.37</v>
      </c>
      <c r="N309" s="334">
        <f>'Office Minor'!F382</f>
        <v>1990511646</v>
      </c>
      <c r="O309" s="334">
        <f>'Office Minor'!G382</f>
        <v>268487545</v>
      </c>
      <c r="P309" s="334">
        <f>'Office Minor'!H382</f>
        <v>2272</v>
      </c>
    </row>
    <row r="310" spans="1:17" s="334" customFormat="1" ht="17.100000000000001" customHeight="1" x14ac:dyDescent="0.25">
      <c r="A310" s="316">
        <v>2</v>
      </c>
      <c r="B310" s="320" t="s">
        <v>59</v>
      </c>
      <c r="C310" s="320">
        <v>0</v>
      </c>
      <c r="D310" s="320">
        <v>0</v>
      </c>
      <c r="E310" s="320">
        <v>0</v>
      </c>
      <c r="F310" s="320">
        <v>0</v>
      </c>
      <c r="G310" s="320">
        <v>0</v>
      </c>
      <c r="H310" s="320">
        <v>0</v>
      </c>
      <c r="I310" s="523"/>
      <c r="J310" s="342" t="e">
        <f t="shared" ref="J310:J314" si="68">F310/E310</f>
        <v>#DIV/0!</v>
      </c>
      <c r="K310" s="423"/>
      <c r="L310" s="423"/>
      <c r="M310" s="423"/>
      <c r="N310" s="423"/>
      <c r="O310" s="423"/>
      <c r="P310" s="423"/>
    </row>
    <row r="311" spans="1:17" s="334" customFormat="1" ht="17.100000000000001" customHeight="1" x14ac:dyDescent="0.25">
      <c r="A311" s="316">
        <v>3</v>
      </c>
      <c r="B311" s="320" t="s">
        <v>63</v>
      </c>
      <c r="C311" s="320">
        <f>K314</f>
        <v>256</v>
      </c>
      <c r="D311" s="320">
        <f t="shared" ref="D311:H311" si="69">L314</f>
        <v>268.93</v>
      </c>
      <c r="E311" s="320">
        <f t="shared" si="69"/>
        <v>1425449</v>
      </c>
      <c r="F311" s="320">
        <f t="shared" si="69"/>
        <v>299344290</v>
      </c>
      <c r="G311" s="320">
        <f t="shared" si="69"/>
        <v>48823267</v>
      </c>
      <c r="H311" s="320">
        <f t="shared" si="69"/>
        <v>3115</v>
      </c>
      <c r="I311" s="523"/>
      <c r="J311" s="342">
        <f t="shared" si="68"/>
        <v>210</v>
      </c>
      <c r="K311" s="707">
        <f>K309-K310</f>
        <v>352</v>
      </c>
      <c r="L311" s="707">
        <f t="shared" ref="L311:P311" si="70">L309-L310</f>
        <v>757.17700000000002</v>
      </c>
      <c r="M311" s="707">
        <f t="shared" si="70"/>
        <v>925819.37</v>
      </c>
      <c r="N311" s="707">
        <f t="shared" si="70"/>
        <v>1990511646</v>
      </c>
      <c r="O311" s="707">
        <f t="shared" si="70"/>
        <v>268487545</v>
      </c>
      <c r="P311" s="707">
        <f t="shared" si="70"/>
        <v>2272</v>
      </c>
    </row>
    <row r="312" spans="1:17" s="334" customFormat="1" ht="17.100000000000001" customHeight="1" x14ac:dyDescent="0.25">
      <c r="A312" s="316">
        <v>4</v>
      </c>
      <c r="B312" s="317" t="s">
        <v>31</v>
      </c>
      <c r="C312" s="320">
        <f>'Office Minor'!C385</f>
        <v>1</v>
      </c>
      <c r="D312" s="320">
        <f>'Office Minor'!D385</f>
        <v>225</v>
      </c>
      <c r="E312" s="320">
        <f>'Office Minor'!E385</f>
        <v>16800</v>
      </c>
      <c r="F312" s="320">
        <f>'Office Minor'!F385</f>
        <v>12096000</v>
      </c>
      <c r="G312" s="320">
        <f>'Office Minor'!G385</f>
        <v>108000</v>
      </c>
      <c r="H312" s="320">
        <f>'Office Minor'!H385</f>
        <v>0</v>
      </c>
      <c r="I312" s="523"/>
      <c r="J312" s="342">
        <f t="shared" si="68"/>
        <v>720</v>
      </c>
      <c r="K312" s="334">
        <f>'Office Minor'!C384</f>
        <v>256</v>
      </c>
      <c r="L312" s="334">
        <f>'Office Minor'!D384</f>
        <v>268.93</v>
      </c>
      <c r="M312" s="334">
        <f>'Office Minor'!E384</f>
        <v>1425449</v>
      </c>
      <c r="N312" s="334">
        <f>'Office Minor'!F384</f>
        <v>299344290</v>
      </c>
      <c r="O312" s="334">
        <f>'Office Minor'!G384</f>
        <v>48823267</v>
      </c>
      <c r="P312" s="334">
        <f>'Office Minor'!H384</f>
        <v>3115</v>
      </c>
    </row>
    <row r="313" spans="1:17" s="334" customFormat="1" ht="17.100000000000001" customHeight="1" x14ac:dyDescent="0.25">
      <c r="A313" s="316">
        <v>5</v>
      </c>
      <c r="B313" s="317" t="s">
        <v>32</v>
      </c>
      <c r="C313" s="320">
        <f>'Office Minor'!C386</f>
        <v>1</v>
      </c>
      <c r="D313" s="320">
        <f>'Office Minor'!D386</f>
        <v>24.5</v>
      </c>
      <c r="E313" s="320">
        <f>'Office Minor'!E386</f>
        <v>418</v>
      </c>
      <c r="F313" s="320">
        <f>'Office Minor'!F386</f>
        <v>104500</v>
      </c>
      <c r="G313" s="320">
        <f>'Office Minor'!G386</f>
        <v>12563</v>
      </c>
      <c r="H313" s="320">
        <f>'Office Minor'!H386</f>
        <v>4</v>
      </c>
      <c r="I313" s="523"/>
      <c r="J313" s="342">
        <f t="shared" si="68"/>
        <v>250</v>
      </c>
      <c r="K313" s="423"/>
      <c r="L313" s="423"/>
      <c r="M313" s="423"/>
      <c r="N313" s="423"/>
      <c r="O313" s="423"/>
      <c r="P313" s="423"/>
      <c r="Q313" s="423"/>
    </row>
    <row r="314" spans="1:17" s="334" customFormat="1" ht="17.100000000000001" customHeight="1" x14ac:dyDescent="0.25">
      <c r="A314" s="316">
        <v>6</v>
      </c>
      <c r="B314" s="317" t="s">
        <v>69</v>
      </c>
      <c r="C314" s="320">
        <f>'Office Minor'!C387</f>
        <v>5</v>
      </c>
      <c r="D314" s="320">
        <f>'Office Minor'!D387</f>
        <v>5</v>
      </c>
      <c r="E314" s="320">
        <f>'Office Minor'!E387</f>
        <v>22304</v>
      </c>
      <c r="F314" s="320">
        <f>'Office Minor'!F387</f>
        <v>5576000</v>
      </c>
      <c r="G314" s="320">
        <f>'Office Minor'!G387</f>
        <v>2721088</v>
      </c>
      <c r="H314" s="320">
        <f>'Office Minor'!H387</f>
        <v>50</v>
      </c>
      <c r="I314" s="523" t="s">
        <v>50</v>
      </c>
      <c r="J314" s="342">
        <f t="shared" si="68"/>
        <v>250</v>
      </c>
      <c r="K314" s="707">
        <f>K312-K313</f>
        <v>256</v>
      </c>
      <c r="L314" s="707">
        <f t="shared" ref="L314:P314" si="71">L312-L313</f>
        <v>268.93</v>
      </c>
      <c r="M314" s="707">
        <f t="shared" si="71"/>
        <v>1425449</v>
      </c>
      <c r="N314" s="707">
        <f t="shared" si="71"/>
        <v>299344290</v>
      </c>
      <c r="O314" s="707">
        <f t="shared" si="71"/>
        <v>48823267</v>
      </c>
      <c r="P314" s="707">
        <f t="shared" si="71"/>
        <v>3115</v>
      </c>
    </row>
    <row r="315" spans="1:17" s="334" customFormat="1" ht="17.100000000000001" customHeight="1" x14ac:dyDescent="0.25">
      <c r="A315" s="316">
        <v>7</v>
      </c>
      <c r="B315" s="317" t="s">
        <v>65</v>
      </c>
      <c r="C315" s="320">
        <f>'Office Minor'!C388</f>
        <v>0</v>
      </c>
      <c r="D315" s="320">
        <f>'Office Minor'!D388</f>
        <v>0</v>
      </c>
      <c r="E315" s="320">
        <f>'Office Minor'!E388</f>
        <v>599994</v>
      </c>
      <c r="F315" s="320">
        <f>'Office Minor'!F388</f>
        <v>20999790</v>
      </c>
      <c r="G315" s="320">
        <f>'Office Minor'!G388</f>
        <v>6553870</v>
      </c>
      <c r="H315" s="320">
        <f>'Office Minor'!H388</f>
        <v>1202</v>
      </c>
      <c r="I315" s="523"/>
      <c r="J315" s="342"/>
      <c r="K315" s="707"/>
      <c r="L315" s="707"/>
      <c r="M315" s="707"/>
      <c r="N315" s="707"/>
      <c r="O315" s="707"/>
      <c r="P315" s="707"/>
    </row>
    <row r="316" spans="1:17" s="334" customFormat="1" ht="17.100000000000001" customHeight="1" x14ac:dyDescent="0.25">
      <c r="A316" s="316"/>
      <c r="B316" s="320" t="s">
        <v>75</v>
      </c>
      <c r="C316" s="320"/>
      <c r="D316" s="320"/>
      <c r="E316" s="320"/>
      <c r="F316" s="320"/>
      <c r="G316" s="686">
        <f>'Office Minor'!G389</f>
        <v>65100000</v>
      </c>
      <c r="H316" s="320"/>
      <c r="I316" s="523"/>
      <c r="J316" s="342"/>
      <c r="K316" s="334">
        <f>'Office Minor'!C383</f>
        <v>3</v>
      </c>
      <c r="L316" s="334">
        <f>'Office Minor'!D383</f>
        <v>1142.8399999999999</v>
      </c>
      <c r="M316" s="334">
        <f>'Office Minor'!E383</f>
        <v>283578</v>
      </c>
      <c r="N316" s="334">
        <f>'Office Minor'!F383</f>
        <v>155967900</v>
      </c>
      <c r="O316" s="334">
        <f>'Office Minor'!G383</f>
        <v>12574287</v>
      </c>
      <c r="P316" s="334">
        <f>'Office Minor'!H383</f>
        <v>438</v>
      </c>
    </row>
    <row r="317" spans="1:17" s="334" customFormat="1" ht="17.100000000000001" customHeight="1" x14ac:dyDescent="0.25">
      <c r="A317" s="316"/>
      <c r="B317" s="320" t="s">
        <v>49</v>
      </c>
      <c r="C317" s="320"/>
      <c r="D317" s="320"/>
      <c r="E317" s="320"/>
      <c r="F317" s="320"/>
      <c r="G317" s="686">
        <f>'Office Minor'!G390</f>
        <v>158667357</v>
      </c>
      <c r="H317" s="320"/>
      <c r="I317" s="523">
        <f>G333</f>
        <v>379965763</v>
      </c>
      <c r="J317" s="342"/>
    </row>
    <row r="318" spans="1:17" s="334" customFormat="1" ht="17.100000000000001" customHeight="1" x14ac:dyDescent="0.25">
      <c r="A318" s="1231" t="s">
        <v>50</v>
      </c>
      <c r="B318" s="1232"/>
      <c r="C318" s="497">
        <f>SUM(C309:C317)</f>
        <v>615</v>
      </c>
      <c r="D318" s="497">
        <f t="shared" ref="D318:H318" si="72">SUM(D309:D317)</f>
        <v>1280.607</v>
      </c>
      <c r="E318" s="497">
        <f t="shared" si="72"/>
        <v>2990784.37</v>
      </c>
      <c r="F318" s="497">
        <f t="shared" si="72"/>
        <v>2328632226</v>
      </c>
      <c r="G318" s="497">
        <f t="shared" si="72"/>
        <v>550473690</v>
      </c>
      <c r="H318" s="497">
        <f t="shared" si="72"/>
        <v>6643</v>
      </c>
      <c r="I318" s="523"/>
      <c r="J318" s="342"/>
      <c r="K318" s="707">
        <f>K316-K317</f>
        <v>3</v>
      </c>
      <c r="L318" s="707">
        <f t="shared" ref="L318:P318" si="73">L316-L317</f>
        <v>1142.8399999999999</v>
      </c>
      <c r="M318" s="707">
        <f t="shared" si="73"/>
        <v>283578</v>
      </c>
      <c r="N318" s="707">
        <f t="shared" si="73"/>
        <v>155967900</v>
      </c>
      <c r="O318" s="707">
        <f t="shared" si="73"/>
        <v>12574287</v>
      </c>
      <c r="P318" s="707">
        <f t="shared" si="73"/>
        <v>438</v>
      </c>
    </row>
    <row r="319" spans="1:17" s="334" customFormat="1" ht="17.100000000000001" customHeight="1" x14ac:dyDescent="0.25">
      <c r="A319" s="513"/>
      <c r="B319" s="513"/>
      <c r="C319" s="1273" t="s">
        <v>655</v>
      </c>
      <c r="D319" s="1274"/>
      <c r="E319" s="1274"/>
      <c r="F319" s="1274"/>
      <c r="G319" s="1274"/>
      <c r="H319" s="513"/>
      <c r="I319" s="523"/>
      <c r="J319" s="342"/>
    </row>
    <row r="320" spans="1:17" s="334" customFormat="1" ht="17.100000000000001" customHeight="1" x14ac:dyDescent="0.25">
      <c r="A320" s="1264" t="s">
        <v>286</v>
      </c>
      <c r="B320" s="1264"/>
      <c r="C320" s="1264"/>
      <c r="D320" s="1264"/>
      <c r="E320" s="1264"/>
      <c r="F320" s="1264"/>
      <c r="G320" s="1264"/>
      <c r="H320" s="1264"/>
      <c r="I320" s="523"/>
      <c r="J320" s="342"/>
    </row>
    <row r="321" spans="1:17" s="334" customFormat="1" ht="17.100000000000001" customHeight="1" x14ac:dyDescent="0.25">
      <c r="A321" s="1225" t="s">
        <v>182</v>
      </c>
      <c r="B321" s="1225" t="s">
        <v>3</v>
      </c>
      <c r="C321" s="1225" t="s">
        <v>4</v>
      </c>
      <c r="D321" s="834" t="s">
        <v>5</v>
      </c>
      <c r="E321" s="68" t="s">
        <v>6</v>
      </c>
      <c r="F321" s="833" t="s">
        <v>7</v>
      </c>
      <c r="G321" s="833" t="s">
        <v>8</v>
      </c>
      <c r="H321" s="68" t="s">
        <v>9</v>
      </c>
      <c r="I321" s="523"/>
      <c r="J321" s="342"/>
    </row>
    <row r="322" spans="1:17" s="334" customFormat="1" ht="17.100000000000001" customHeight="1" x14ac:dyDescent="0.25">
      <c r="A322" s="1230"/>
      <c r="B322" s="1230"/>
      <c r="C322" s="1230"/>
      <c r="D322" s="835" t="s">
        <v>78</v>
      </c>
      <c r="E322" s="835" t="s">
        <v>79</v>
      </c>
      <c r="F322" s="836" t="s">
        <v>80</v>
      </c>
      <c r="G322" s="836" t="s">
        <v>80</v>
      </c>
      <c r="H322" s="69" t="s">
        <v>13</v>
      </c>
      <c r="I322" s="523"/>
      <c r="J322" s="342"/>
      <c r="Q322" s="334">
        <f>G318</f>
        <v>550473690</v>
      </c>
    </row>
    <row r="323" spans="1:17" s="334" customFormat="1" ht="17.100000000000001" customHeight="1" x14ac:dyDescent="0.25">
      <c r="A323" s="891">
        <v>1</v>
      </c>
      <c r="B323" s="320" t="s">
        <v>71</v>
      </c>
      <c r="C323" s="908">
        <f>'Office Minor'!C396</f>
        <v>34</v>
      </c>
      <c r="D323" s="908">
        <f>'Office Minor'!D396</f>
        <v>73.25</v>
      </c>
      <c r="E323" s="908">
        <f>'Office Minor'!E396</f>
        <v>5366</v>
      </c>
      <c r="F323" s="908">
        <f>'Office Minor'!F396</f>
        <v>4024500</v>
      </c>
      <c r="G323" s="908">
        <f>'Office Minor'!G396</f>
        <v>405646</v>
      </c>
      <c r="H323" s="908">
        <f>'Office Minor'!H396</f>
        <v>40</v>
      </c>
      <c r="I323" s="523"/>
      <c r="J323" s="342">
        <f>F323/E323</f>
        <v>750</v>
      </c>
    </row>
    <row r="324" spans="1:17" s="334" customFormat="1" ht="17.100000000000001" customHeight="1" x14ac:dyDescent="0.25">
      <c r="A324" s="891">
        <v>2</v>
      </c>
      <c r="B324" s="320" t="s">
        <v>63</v>
      </c>
      <c r="C324" s="908">
        <f>'Office Minor'!C397</f>
        <v>36</v>
      </c>
      <c r="D324" s="908">
        <f>'Office Minor'!D397</f>
        <v>39.1</v>
      </c>
      <c r="E324" s="908">
        <f>'Office Minor'!E397</f>
        <v>1725119</v>
      </c>
      <c r="F324" s="908">
        <f>'Office Minor'!F397</f>
        <v>353649395</v>
      </c>
      <c r="G324" s="908">
        <f>'Office Minor'!G397</f>
        <v>60379165</v>
      </c>
      <c r="H324" s="908">
        <f>'Office Minor'!H397</f>
        <v>150</v>
      </c>
      <c r="I324" s="523"/>
      <c r="J324" s="342">
        <f t="shared" ref="J324:J330" si="74">F324/E324</f>
        <v>205</v>
      </c>
    </row>
    <row r="325" spans="1:17" s="334" customFormat="1" ht="17.100000000000001" customHeight="1" x14ac:dyDescent="0.25">
      <c r="A325" s="891">
        <v>3</v>
      </c>
      <c r="B325" s="320" t="s">
        <v>198</v>
      </c>
      <c r="C325" s="908">
        <f>'Office Minor'!C398</f>
        <v>12</v>
      </c>
      <c r="D325" s="908">
        <f>'Office Minor'!D398</f>
        <v>13.07</v>
      </c>
      <c r="E325" s="908">
        <f>'Office Minor'!E398</f>
        <v>11646</v>
      </c>
      <c r="F325" s="908">
        <f>'Office Minor'!F398</f>
        <v>7686360</v>
      </c>
      <c r="G325" s="908">
        <f>'Office Minor'!G398</f>
        <v>516190</v>
      </c>
      <c r="H325" s="908">
        <f>'Office Minor'!H398</f>
        <v>40</v>
      </c>
      <c r="I325" s="523"/>
      <c r="J325" s="342">
        <f t="shared" si="74"/>
        <v>660</v>
      </c>
    </row>
    <row r="326" spans="1:17" s="334" customFormat="1" ht="17.100000000000001" customHeight="1" x14ac:dyDescent="0.25">
      <c r="A326" s="891">
        <v>4</v>
      </c>
      <c r="B326" s="320" t="s">
        <v>61</v>
      </c>
      <c r="C326" s="908">
        <f>'Office Minor'!C399</f>
        <v>69</v>
      </c>
      <c r="D326" s="908">
        <f>'Office Minor'!D399</f>
        <v>265.26</v>
      </c>
      <c r="E326" s="908">
        <f>'Office Minor'!E399</f>
        <v>1563424</v>
      </c>
      <c r="F326" s="908">
        <f>'Office Minor'!F399</f>
        <v>1755725152</v>
      </c>
      <c r="G326" s="908">
        <f>'Office Minor'!G399</f>
        <v>176666912</v>
      </c>
      <c r="H326" s="908">
        <f>'Office Minor'!H399</f>
        <v>758</v>
      </c>
      <c r="I326" s="523"/>
      <c r="J326" s="342">
        <f t="shared" si="74"/>
        <v>1123</v>
      </c>
    </row>
    <row r="327" spans="1:17" s="334" customFormat="1" ht="17.100000000000001" customHeight="1" x14ac:dyDescent="0.25">
      <c r="A327" s="891">
        <v>5</v>
      </c>
      <c r="B327" s="320" t="s">
        <v>60</v>
      </c>
      <c r="C327" s="908">
        <f>'Office Minor'!C400</f>
        <v>0</v>
      </c>
      <c r="D327" s="908">
        <f>'Office Minor'!D400</f>
        <v>0</v>
      </c>
      <c r="E327" s="908">
        <f>'Office Minor'!E400</f>
        <v>0</v>
      </c>
      <c r="F327" s="908">
        <f>'Office Minor'!F400</f>
        <v>0</v>
      </c>
      <c r="G327" s="908">
        <f>'Office Minor'!G400</f>
        <v>0</v>
      </c>
      <c r="H327" s="908">
        <f>'Office Minor'!H400</f>
        <v>0</v>
      </c>
      <c r="I327" s="523"/>
      <c r="J327" s="342" t="e">
        <f t="shared" si="74"/>
        <v>#DIV/0!</v>
      </c>
    </row>
    <row r="328" spans="1:17" s="334" customFormat="1" ht="17.100000000000001" customHeight="1" x14ac:dyDescent="0.25">
      <c r="A328" s="891">
        <v>6</v>
      </c>
      <c r="B328" s="320" t="s">
        <v>59</v>
      </c>
      <c r="C328" s="908">
        <f>'Office Minor'!C401</f>
        <v>2</v>
      </c>
      <c r="D328" s="908">
        <f>'Office Minor'!D401</f>
        <v>2874.9</v>
      </c>
      <c r="E328" s="908">
        <f>'Office Minor'!E401</f>
        <v>266930</v>
      </c>
      <c r="F328" s="908">
        <f>'Office Minor'!F401</f>
        <v>146811500</v>
      </c>
      <c r="G328" s="908">
        <f>'Office Minor'!G401</f>
        <v>12011850</v>
      </c>
      <c r="H328" s="908">
        <f>'Office Minor'!H401</f>
        <v>40</v>
      </c>
      <c r="I328" s="523"/>
      <c r="J328" s="342">
        <f t="shared" si="74"/>
        <v>550</v>
      </c>
    </row>
    <row r="329" spans="1:17" s="334" customFormat="1" ht="17.100000000000001" customHeight="1" x14ac:dyDescent="0.25">
      <c r="A329" s="891">
        <v>7</v>
      </c>
      <c r="B329" s="320" t="s">
        <v>194</v>
      </c>
      <c r="C329" s="908">
        <f>'Office Minor'!C402</f>
        <v>0</v>
      </c>
      <c r="D329" s="908">
        <f>'Office Minor'!D402</f>
        <v>0</v>
      </c>
      <c r="E329" s="908">
        <f>'Office Minor'!E402</f>
        <v>40354</v>
      </c>
      <c r="F329" s="908">
        <f>'Office Minor'!F402</f>
        <v>7869030</v>
      </c>
      <c r="G329" s="908">
        <f>'Office Minor'!G402</f>
        <v>1291000</v>
      </c>
      <c r="H329" s="908">
        <f>'Office Minor'!H402</f>
        <v>10</v>
      </c>
      <c r="I329" s="523"/>
      <c r="J329" s="342">
        <f t="shared" si="74"/>
        <v>195</v>
      </c>
    </row>
    <row r="330" spans="1:17" s="334" customFormat="1" ht="17.100000000000001" customHeight="1" x14ac:dyDescent="0.25">
      <c r="A330" s="891">
        <v>8</v>
      </c>
      <c r="B330" s="320" t="s">
        <v>199</v>
      </c>
      <c r="C330" s="908">
        <f>'Office Minor'!C403</f>
        <v>0</v>
      </c>
      <c r="D330" s="908">
        <f>'Office Minor'!D403</f>
        <v>0</v>
      </c>
      <c r="E330" s="908">
        <f>'Office Minor'!E403</f>
        <v>906102</v>
      </c>
      <c r="F330" s="908">
        <f>'Office Minor'!F403</f>
        <v>22652550</v>
      </c>
      <c r="G330" s="908">
        <f>'Office Minor'!G403</f>
        <v>5436000</v>
      </c>
      <c r="H330" s="908">
        <f>'Office Minor'!H403</f>
        <v>75</v>
      </c>
      <c r="I330" s="523"/>
      <c r="J330" s="342">
        <f t="shared" si="74"/>
        <v>25</v>
      </c>
    </row>
    <row r="331" spans="1:17" s="334" customFormat="1" ht="17.100000000000001" customHeight="1" x14ac:dyDescent="0.25">
      <c r="A331" s="891"/>
      <c r="B331" s="320" t="s">
        <v>75</v>
      </c>
      <c r="C331" s="908"/>
      <c r="D331" s="908"/>
      <c r="E331" s="908"/>
      <c r="F331" s="908"/>
      <c r="G331" s="908">
        <f>'Office Minor'!G404</f>
        <v>55439000</v>
      </c>
      <c r="H331" s="908"/>
      <c r="I331" s="523"/>
      <c r="J331" s="342"/>
    </row>
    <row r="332" spans="1:17" s="334" customFormat="1" ht="17.100000000000001" customHeight="1" x14ac:dyDescent="0.25">
      <c r="A332" s="891"/>
      <c r="B332" s="320" t="s">
        <v>49</v>
      </c>
      <c r="C332" s="908"/>
      <c r="D332" s="908"/>
      <c r="E332" s="908"/>
      <c r="F332" s="908"/>
      <c r="G332" s="908">
        <f>'Office Minor'!G405</f>
        <v>67820000</v>
      </c>
      <c r="H332" s="908"/>
      <c r="I332" s="523"/>
      <c r="J332" s="342"/>
    </row>
    <row r="333" spans="1:17" s="334" customFormat="1" ht="17.100000000000001" customHeight="1" x14ac:dyDescent="0.25">
      <c r="A333" s="1231" t="s">
        <v>50</v>
      </c>
      <c r="B333" s="1232"/>
      <c r="C333" s="497">
        <f t="shared" ref="C333:H333" si="75">SUM(C323:C332)</f>
        <v>153</v>
      </c>
      <c r="D333" s="497">
        <f t="shared" si="75"/>
        <v>3265.58</v>
      </c>
      <c r="E333" s="497">
        <f t="shared" si="75"/>
        <v>4518941</v>
      </c>
      <c r="F333" s="497">
        <f t="shared" si="75"/>
        <v>2298418487</v>
      </c>
      <c r="G333" s="497">
        <f t="shared" si="75"/>
        <v>379965763</v>
      </c>
      <c r="H333" s="497">
        <f t="shared" si="75"/>
        <v>1113</v>
      </c>
      <c r="I333" s="523"/>
      <c r="J333" s="342"/>
    </row>
    <row r="334" spans="1:17" s="334" customFormat="1" ht="17.100000000000001" customHeight="1" x14ac:dyDescent="0.25">
      <c r="A334" s="513"/>
      <c r="B334" s="513"/>
      <c r="C334" s="513"/>
      <c r="D334" s="513"/>
      <c r="E334" s="513"/>
      <c r="F334" s="513"/>
      <c r="G334" s="513"/>
      <c r="H334" s="513"/>
      <c r="I334" s="523"/>
      <c r="J334" s="342"/>
    </row>
    <row r="335" spans="1:17" s="334" customFormat="1" ht="17.100000000000001" customHeight="1" x14ac:dyDescent="0.25">
      <c r="A335" s="1264" t="s">
        <v>256</v>
      </c>
      <c r="B335" s="1264"/>
      <c r="C335" s="1264"/>
      <c r="D335" s="1264"/>
      <c r="E335" s="1264"/>
      <c r="F335" s="1264"/>
      <c r="G335" s="1264"/>
      <c r="H335" s="1264"/>
      <c r="I335" s="523"/>
      <c r="J335" s="342"/>
    </row>
    <row r="336" spans="1:17" s="334" customFormat="1" ht="17.100000000000001" customHeight="1" x14ac:dyDescent="0.25">
      <c r="A336" s="1225" t="s">
        <v>182</v>
      </c>
      <c r="B336" s="1225" t="s">
        <v>3</v>
      </c>
      <c r="C336" s="1225" t="s">
        <v>4</v>
      </c>
      <c r="D336" s="834" t="s">
        <v>5</v>
      </c>
      <c r="E336" s="68" t="s">
        <v>6</v>
      </c>
      <c r="F336" s="833" t="s">
        <v>7</v>
      </c>
      <c r="G336" s="833" t="s">
        <v>8</v>
      </c>
      <c r="H336" s="68" t="s">
        <v>9</v>
      </c>
      <c r="I336" s="524">
        <f>G352+Distt.Major!G114</f>
        <v>1761200000</v>
      </c>
      <c r="J336" s="342"/>
    </row>
    <row r="337" spans="1:10" s="334" customFormat="1" ht="17.100000000000001" customHeight="1" x14ac:dyDescent="0.25">
      <c r="A337" s="1230"/>
      <c r="B337" s="1230"/>
      <c r="C337" s="1230"/>
      <c r="D337" s="835" t="s">
        <v>78</v>
      </c>
      <c r="E337" s="835" t="s">
        <v>79</v>
      </c>
      <c r="F337" s="836" t="s">
        <v>80</v>
      </c>
      <c r="G337" s="836" t="s">
        <v>80</v>
      </c>
      <c r="H337" s="69" t="s">
        <v>13</v>
      </c>
      <c r="I337" s="523"/>
      <c r="J337" s="342"/>
    </row>
    <row r="338" spans="1:10" s="334" customFormat="1" ht="17.100000000000001" customHeight="1" x14ac:dyDescent="0.25">
      <c r="A338" s="891">
        <v>1</v>
      </c>
      <c r="B338" s="320" t="s">
        <v>60</v>
      </c>
      <c r="C338" s="316">
        <f>'Office Minor'!C411</f>
        <v>1</v>
      </c>
      <c r="D338" s="316">
        <f>'Office Minor'!D411</f>
        <v>4.83</v>
      </c>
      <c r="E338" s="316">
        <f>'Office Minor'!E411</f>
        <v>612</v>
      </c>
      <c r="F338" s="316">
        <f>'Office Minor'!F411</f>
        <v>214285</v>
      </c>
      <c r="G338" s="316">
        <f>'Office Minor'!G411</f>
        <v>60000</v>
      </c>
      <c r="H338" s="316">
        <f>'Office Minor'!H411</f>
        <v>40</v>
      </c>
      <c r="I338" s="523"/>
      <c r="J338" s="342">
        <f>F338/E338</f>
        <v>350.13888888888891</v>
      </c>
    </row>
    <row r="339" spans="1:10" s="334" customFormat="1" ht="17.100000000000001" customHeight="1" x14ac:dyDescent="0.25">
      <c r="A339" s="891">
        <v>2</v>
      </c>
      <c r="B339" s="320" t="s">
        <v>62</v>
      </c>
      <c r="C339" s="316">
        <f>'Office Minor'!C412</f>
        <v>9</v>
      </c>
      <c r="D339" s="316">
        <f>'Office Minor'!D412</f>
        <v>21.481999999999999</v>
      </c>
      <c r="E339" s="316">
        <f>'Office Minor'!E412</f>
        <v>1586</v>
      </c>
      <c r="F339" s="316">
        <f>'Office Minor'!F412</f>
        <v>2934482</v>
      </c>
      <c r="G339" s="316">
        <f>'Office Minor'!G412</f>
        <v>460000</v>
      </c>
      <c r="H339" s="316">
        <f>'Office Minor'!H412</f>
        <v>21</v>
      </c>
      <c r="I339" s="523"/>
      <c r="J339" s="342">
        <f t="shared" ref="J339:J349" si="76">F339/E339</f>
        <v>1850.2408575031525</v>
      </c>
    </row>
    <row r="340" spans="1:10" s="334" customFormat="1" ht="17.100000000000001" customHeight="1" x14ac:dyDescent="0.25">
      <c r="A340" s="891">
        <v>3</v>
      </c>
      <c r="B340" s="320" t="s">
        <v>58</v>
      </c>
      <c r="C340" s="316">
        <f>'Office Minor'!C413</f>
        <v>26</v>
      </c>
      <c r="D340" s="316">
        <f>'Office Minor'!D413</f>
        <v>100.483</v>
      </c>
      <c r="E340" s="316">
        <f>'Office Minor'!E413</f>
        <v>205770</v>
      </c>
      <c r="F340" s="316">
        <f>'Office Minor'!F413</f>
        <v>442405500</v>
      </c>
      <c r="G340" s="316">
        <f>'Office Minor'!G413</f>
        <v>7202000</v>
      </c>
      <c r="H340" s="316">
        <f>'Office Minor'!H413</f>
        <v>68</v>
      </c>
      <c r="I340" s="523"/>
      <c r="J340" s="342">
        <f t="shared" si="76"/>
        <v>2150</v>
      </c>
    </row>
    <row r="341" spans="1:10" s="334" customFormat="1" ht="17.100000000000001" customHeight="1" x14ac:dyDescent="0.25">
      <c r="A341" s="891">
        <v>4</v>
      </c>
      <c r="B341" s="320" t="s">
        <v>68</v>
      </c>
      <c r="C341" s="316">
        <f>'Office Minor'!C414</f>
        <v>11</v>
      </c>
      <c r="D341" s="316">
        <f>'Office Minor'!D414</f>
        <v>14.914</v>
      </c>
      <c r="E341" s="316">
        <f>'Office Minor'!E414</f>
        <v>96220</v>
      </c>
      <c r="F341" s="316">
        <f>'Office Minor'!F414</f>
        <v>23573900</v>
      </c>
      <c r="G341" s="316">
        <f>'Office Minor'!G414</f>
        <v>8206000</v>
      </c>
      <c r="H341" s="316">
        <f>'Office Minor'!H414</f>
        <v>24</v>
      </c>
      <c r="I341" s="523"/>
      <c r="J341" s="342">
        <f t="shared" si="76"/>
        <v>245</v>
      </c>
    </row>
    <row r="342" spans="1:10" s="334" customFormat="1" ht="17.100000000000001" customHeight="1" x14ac:dyDescent="0.25">
      <c r="A342" s="891">
        <v>5</v>
      </c>
      <c r="B342" s="320" t="s">
        <v>63</v>
      </c>
      <c r="C342" s="316">
        <f>'Office Minor'!C415</f>
        <v>361</v>
      </c>
      <c r="D342" s="316">
        <f>'Office Minor'!D415</f>
        <v>471.63</v>
      </c>
      <c r="E342" s="316">
        <f>'Office Minor'!E415</f>
        <v>18758422</v>
      </c>
      <c r="F342" s="316">
        <f>'Office Minor'!F415</f>
        <v>3939268620</v>
      </c>
      <c r="G342" s="316">
        <f>'Office Minor'!G415</f>
        <v>807608000</v>
      </c>
      <c r="H342" s="316">
        <f>'Office Minor'!H415</f>
        <v>3785</v>
      </c>
      <c r="I342" s="523"/>
      <c r="J342" s="342">
        <f t="shared" si="76"/>
        <v>210</v>
      </c>
    </row>
    <row r="343" spans="1:10" s="334" customFormat="1" ht="17.100000000000001" customHeight="1" x14ac:dyDescent="0.25">
      <c r="A343" s="891">
        <v>6</v>
      </c>
      <c r="B343" s="320" t="s">
        <v>59</v>
      </c>
      <c r="C343" s="316">
        <f>'Office Minor'!C416</f>
        <v>1</v>
      </c>
      <c r="D343" s="316">
        <f>'Office Minor'!D416</f>
        <v>0</v>
      </c>
      <c r="E343" s="316">
        <f>'Office Minor'!E416</f>
        <v>471253</v>
      </c>
      <c r="F343" s="316">
        <f>'Office Minor'!F416</f>
        <v>259189150</v>
      </c>
      <c r="G343" s="316">
        <f>'Office Minor'!G416</f>
        <v>26509000</v>
      </c>
      <c r="H343" s="316">
        <f>'Office Minor'!H416</f>
        <v>18</v>
      </c>
      <c r="I343" s="523"/>
      <c r="J343" s="342">
        <f t="shared" si="76"/>
        <v>550</v>
      </c>
    </row>
    <row r="344" spans="1:10" s="334" customFormat="1" ht="17.100000000000001" customHeight="1" x14ac:dyDescent="0.25">
      <c r="A344" s="891">
        <v>7</v>
      </c>
      <c r="B344" s="320" t="s">
        <v>54</v>
      </c>
      <c r="C344" s="316">
        <f>'Office Minor'!C417</f>
        <v>0</v>
      </c>
      <c r="D344" s="316">
        <f>'Office Minor'!D417</f>
        <v>0</v>
      </c>
      <c r="E344" s="316">
        <f>'Office Minor'!E417</f>
        <v>707468</v>
      </c>
      <c r="F344" s="316">
        <f>'Office Minor'!F417</f>
        <v>176867187</v>
      </c>
      <c r="G344" s="316">
        <f>'Office Minor'!G417</f>
        <v>22639000</v>
      </c>
      <c r="H344" s="316">
        <f>'Office Minor'!H417</f>
        <v>250</v>
      </c>
      <c r="I344" s="523"/>
      <c r="J344" s="342">
        <f t="shared" si="76"/>
        <v>250.00026432290932</v>
      </c>
    </row>
    <row r="345" spans="1:10" s="334" customFormat="1" ht="17.100000000000001" customHeight="1" x14ac:dyDescent="0.25">
      <c r="A345" s="891">
        <v>8</v>
      </c>
      <c r="B345" s="320" t="s">
        <v>200</v>
      </c>
      <c r="C345" s="316">
        <f>'Office Minor'!C418</f>
        <v>1</v>
      </c>
      <c r="D345" s="316">
        <f>'Office Minor'!D418</f>
        <v>1</v>
      </c>
      <c r="E345" s="316">
        <f>'Office Minor'!E418</f>
        <v>0</v>
      </c>
      <c r="F345" s="316">
        <f>'Office Minor'!F418</f>
        <v>0</v>
      </c>
      <c r="G345" s="316">
        <f>'Office Minor'!G418</f>
        <v>0</v>
      </c>
      <c r="H345" s="316">
        <f>'Office Minor'!H418</f>
        <v>0</v>
      </c>
      <c r="I345" s="523"/>
      <c r="J345" s="342" t="e">
        <f t="shared" si="76"/>
        <v>#DIV/0!</v>
      </c>
    </row>
    <row r="346" spans="1:10" s="334" customFormat="1" ht="17.100000000000001" customHeight="1" x14ac:dyDescent="0.25">
      <c r="A346" s="891">
        <v>9</v>
      </c>
      <c r="B346" s="321" t="s">
        <v>25</v>
      </c>
      <c r="C346" s="316">
        <f>'Office Minor'!C419</f>
        <v>4</v>
      </c>
      <c r="D346" s="316">
        <f>'Office Minor'!D419</f>
        <v>19.887499999999999</v>
      </c>
      <c r="E346" s="316">
        <f>'Office Minor'!E419</f>
        <v>2186</v>
      </c>
      <c r="F346" s="316">
        <f>'Office Minor'!F419</f>
        <v>1858100</v>
      </c>
      <c r="G346" s="316">
        <f>'Office Minor'!G419</f>
        <v>4353000</v>
      </c>
      <c r="H346" s="316">
        <f>'Office Minor'!H419</f>
        <v>11</v>
      </c>
      <c r="I346" s="523"/>
      <c r="J346" s="342">
        <f t="shared" si="76"/>
        <v>850</v>
      </c>
    </row>
    <row r="347" spans="1:10" s="334" customFormat="1" ht="17.100000000000001" customHeight="1" x14ac:dyDescent="0.25">
      <c r="A347" s="891">
        <v>10</v>
      </c>
      <c r="B347" s="321" t="s">
        <v>168</v>
      </c>
      <c r="C347" s="316">
        <f>'Office Minor'!C420</f>
        <v>20</v>
      </c>
      <c r="D347" s="316">
        <f>'Office Minor'!D420</f>
        <v>90.198700000000002</v>
      </c>
      <c r="E347" s="316">
        <f>'Office Minor'!E420</f>
        <v>128493</v>
      </c>
      <c r="F347" s="316">
        <f>'Office Minor'!F420</f>
        <v>77095800</v>
      </c>
      <c r="G347" s="316">
        <f>'Office Minor'!G420</f>
        <v>4554000</v>
      </c>
      <c r="H347" s="316">
        <f>'Office Minor'!H420</f>
        <v>38</v>
      </c>
      <c r="I347" s="530"/>
      <c r="J347" s="342">
        <f t="shared" si="76"/>
        <v>600</v>
      </c>
    </row>
    <row r="348" spans="1:10" s="334" customFormat="1" ht="17.100000000000001" customHeight="1" x14ac:dyDescent="0.25">
      <c r="A348" s="891">
        <v>11</v>
      </c>
      <c r="B348" s="321" t="s">
        <v>46</v>
      </c>
      <c r="C348" s="316">
        <f>'Office Minor'!C421</f>
        <v>3</v>
      </c>
      <c r="D348" s="316">
        <f>'Office Minor'!D421</f>
        <v>132.81</v>
      </c>
      <c r="E348" s="316">
        <f>'Office Minor'!E421</f>
        <v>0</v>
      </c>
      <c r="F348" s="316">
        <f>'Office Minor'!F421</f>
        <v>0</v>
      </c>
      <c r="G348" s="316">
        <f>'Office Minor'!G421</f>
        <v>0</v>
      </c>
      <c r="H348" s="316">
        <f>'Office Minor'!H421</f>
        <v>0</v>
      </c>
      <c r="I348" s="530"/>
      <c r="J348" s="342" t="e">
        <f t="shared" si="76"/>
        <v>#DIV/0!</v>
      </c>
    </row>
    <row r="349" spans="1:10" s="334" customFormat="1" ht="17.100000000000001" customHeight="1" x14ac:dyDescent="0.25">
      <c r="A349" s="891">
        <v>12</v>
      </c>
      <c r="B349" s="321" t="s">
        <v>169</v>
      </c>
      <c r="C349" s="316">
        <f>'Office Minor'!C422</f>
        <v>2</v>
      </c>
      <c r="D349" s="316">
        <f>'Office Minor'!D422</f>
        <v>54.987299999999998</v>
      </c>
      <c r="E349" s="316">
        <f>'Office Minor'!E422</f>
        <v>750</v>
      </c>
      <c r="F349" s="316">
        <f>'Office Minor'!F422</f>
        <v>637500</v>
      </c>
      <c r="G349" s="316">
        <f>'Office Minor'!G422</f>
        <v>60000</v>
      </c>
      <c r="H349" s="316">
        <f>'Office Minor'!H422</f>
        <v>40</v>
      </c>
      <c r="I349" s="530"/>
      <c r="J349" s="342">
        <f t="shared" si="76"/>
        <v>850</v>
      </c>
    </row>
    <row r="350" spans="1:10" s="334" customFormat="1" ht="17.100000000000001" customHeight="1" x14ac:dyDescent="0.25">
      <c r="A350" s="891"/>
      <c r="B350" s="320" t="s">
        <v>75</v>
      </c>
      <c r="C350" s="316"/>
      <c r="D350" s="316"/>
      <c r="E350" s="316"/>
      <c r="F350" s="316"/>
      <c r="G350" s="316">
        <f>'Office Minor'!G423</f>
        <v>11000000</v>
      </c>
      <c r="H350" s="316"/>
      <c r="I350" s="530"/>
      <c r="J350" s="342"/>
    </row>
    <row r="351" spans="1:10" s="334" customFormat="1" ht="17.100000000000001" customHeight="1" x14ac:dyDescent="0.25">
      <c r="A351" s="891"/>
      <c r="B351" s="320" t="s">
        <v>49</v>
      </c>
      <c r="C351" s="316"/>
      <c r="D351" s="316"/>
      <c r="E351" s="316"/>
      <c r="F351" s="316"/>
      <c r="G351" s="316">
        <f>'Office Minor'!G424</f>
        <v>285830000</v>
      </c>
      <c r="H351" s="316"/>
      <c r="I351" s="530"/>
      <c r="J351" s="342"/>
    </row>
    <row r="352" spans="1:10" s="334" customFormat="1" ht="17.100000000000001" customHeight="1" x14ac:dyDescent="0.25">
      <c r="A352" s="1231" t="s">
        <v>50</v>
      </c>
      <c r="B352" s="1232"/>
      <c r="C352" s="497">
        <f t="shared" ref="C352:H352" si="77">SUM(C338:C351)</f>
        <v>439</v>
      </c>
      <c r="D352" s="497">
        <f t="shared" si="77"/>
        <v>912.22250000000008</v>
      </c>
      <c r="E352" s="497">
        <f t="shared" si="77"/>
        <v>20372760</v>
      </c>
      <c r="F352" s="497">
        <f t="shared" si="77"/>
        <v>4924044524</v>
      </c>
      <c r="G352" s="497">
        <f t="shared" si="77"/>
        <v>1178481000</v>
      </c>
      <c r="H352" s="497">
        <f t="shared" si="77"/>
        <v>4295</v>
      </c>
      <c r="I352" s="526" t="e">
        <f>G369+Distt.Major!#REF!</f>
        <v>#REF!</v>
      </c>
      <c r="J352" s="342"/>
    </row>
    <row r="353" spans="1:10" s="334" customFormat="1" ht="17.100000000000001" customHeight="1" x14ac:dyDescent="0.25">
      <c r="A353" s="513"/>
      <c r="B353" s="513"/>
      <c r="C353" s="513"/>
      <c r="D353" s="513"/>
      <c r="E353" s="513"/>
      <c r="F353" s="513"/>
      <c r="G353" s="513"/>
      <c r="H353" s="513"/>
      <c r="I353" s="523"/>
      <c r="J353" s="342"/>
    </row>
    <row r="354" spans="1:10" s="334" customFormat="1" ht="17.100000000000001" customHeight="1" x14ac:dyDescent="0.25">
      <c r="A354" s="1277" t="s">
        <v>287</v>
      </c>
      <c r="B354" s="1277"/>
      <c r="C354" s="1277"/>
      <c r="D354" s="1277"/>
      <c r="E354" s="1277"/>
      <c r="F354" s="1277"/>
      <c r="G354" s="1277"/>
      <c r="H354" s="1277"/>
      <c r="I354" s="523"/>
      <c r="J354" s="342"/>
    </row>
    <row r="355" spans="1:10" s="334" customFormat="1" ht="17.100000000000001" customHeight="1" x14ac:dyDescent="0.25">
      <c r="A355" s="1278" t="s">
        <v>182</v>
      </c>
      <c r="B355" s="1279" t="s">
        <v>3</v>
      </c>
      <c r="C355" s="1279" t="s">
        <v>4</v>
      </c>
      <c r="D355" s="858" t="s">
        <v>5</v>
      </c>
      <c r="E355" s="70" t="s">
        <v>6</v>
      </c>
      <c r="F355" s="859" t="s">
        <v>7</v>
      </c>
      <c r="G355" s="859" t="s">
        <v>8</v>
      </c>
      <c r="H355" s="70" t="s">
        <v>9</v>
      </c>
      <c r="I355" s="523"/>
      <c r="J355" s="342"/>
    </row>
    <row r="356" spans="1:10" s="334" customFormat="1" ht="17.100000000000001" customHeight="1" x14ac:dyDescent="0.25">
      <c r="A356" s="1255"/>
      <c r="B356" s="1279"/>
      <c r="C356" s="1279"/>
      <c r="D356" s="884" t="s">
        <v>78</v>
      </c>
      <c r="E356" s="884" t="s">
        <v>79</v>
      </c>
      <c r="F356" s="850" t="s">
        <v>80</v>
      </c>
      <c r="G356" s="850" t="s">
        <v>80</v>
      </c>
      <c r="H356" s="71" t="s">
        <v>13</v>
      </c>
      <c r="I356" s="523"/>
      <c r="J356" s="342"/>
    </row>
    <row r="357" spans="1:10" s="334" customFormat="1" ht="17.100000000000001" customHeight="1" x14ac:dyDescent="0.25">
      <c r="A357" s="316">
        <v>1</v>
      </c>
      <c r="B357" s="320" t="s">
        <v>60</v>
      </c>
      <c r="C357" s="861">
        <f>'Office Minor'!C430</f>
        <v>98</v>
      </c>
      <c r="D357" s="861">
        <f>'Office Minor'!D430</f>
        <v>1317.71</v>
      </c>
      <c r="E357" s="861">
        <f>'Office Minor'!E430</f>
        <v>4282588</v>
      </c>
      <c r="F357" s="861">
        <f>'Office Minor'!F430</f>
        <v>1498905937</v>
      </c>
      <c r="G357" s="861">
        <f>'Office Minor'!G430</f>
        <v>466854000</v>
      </c>
      <c r="H357" s="861">
        <f>'Office Minor'!H430</f>
        <v>599</v>
      </c>
      <c r="I357" s="523"/>
      <c r="J357" s="342">
        <f>F357/E357</f>
        <v>350.0000319900023</v>
      </c>
    </row>
    <row r="358" spans="1:10" s="334" customFormat="1" ht="17.100000000000001" customHeight="1" x14ac:dyDescent="0.25">
      <c r="A358" s="316">
        <v>2</v>
      </c>
      <c r="B358" s="320" t="s">
        <v>69</v>
      </c>
      <c r="C358" s="861">
        <f>'Office Minor'!C431</f>
        <v>162</v>
      </c>
      <c r="D358" s="861">
        <f>'Office Minor'!D431</f>
        <v>166.92</v>
      </c>
      <c r="E358" s="861">
        <f>'Office Minor'!E431</f>
        <v>2775069</v>
      </c>
      <c r="F358" s="861">
        <f>'Office Minor'!F431</f>
        <v>346883707</v>
      </c>
      <c r="G358" s="861">
        <f>'Office Minor'!G431</f>
        <v>128401000</v>
      </c>
      <c r="H358" s="861">
        <f>'Office Minor'!H431</f>
        <v>625</v>
      </c>
      <c r="I358" s="523"/>
      <c r="J358" s="342">
        <f t="shared" ref="J358:J365" si="78">F358/E358</f>
        <v>125.00002954881482</v>
      </c>
    </row>
    <row r="359" spans="1:10" s="334" customFormat="1" ht="17.100000000000001" customHeight="1" x14ac:dyDescent="0.25">
      <c r="A359" s="316">
        <v>3</v>
      </c>
      <c r="B359" s="320" t="s">
        <v>58</v>
      </c>
      <c r="C359" s="861">
        <f>'Office Minor'!C432</f>
        <v>20</v>
      </c>
      <c r="D359" s="861">
        <f>'Office Minor'!D432</f>
        <v>36.71</v>
      </c>
      <c r="E359" s="861">
        <f>'Office Minor'!E432</f>
        <v>9606</v>
      </c>
      <c r="F359" s="861">
        <f>'Office Minor'!F432</f>
        <v>20654082</v>
      </c>
      <c r="G359" s="861">
        <f>'Office Minor'!G432</f>
        <v>4667000</v>
      </c>
      <c r="H359" s="861">
        <f>'Office Minor'!H432</f>
        <v>24</v>
      </c>
      <c r="I359" s="523"/>
      <c r="J359" s="342">
        <f t="shared" si="78"/>
        <v>2150.1230480949407</v>
      </c>
    </row>
    <row r="360" spans="1:10" s="334" customFormat="1" ht="17.100000000000001" customHeight="1" x14ac:dyDescent="0.25">
      <c r="A360" s="316">
        <v>4</v>
      </c>
      <c r="B360" s="320" t="s">
        <v>71</v>
      </c>
      <c r="C360" s="861">
        <f>'Office Minor'!C433+'Office Minor'!C61</f>
        <v>113</v>
      </c>
      <c r="D360" s="861">
        <f>'Office Minor'!D433+'Office Minor'!D61</f>
        <v>116.28</v>
      </c>
      <c r="E360" s="861">
        <f>'Office Minor'!E433+'Office Minor'!E61</f>
        <v>6391161.75</v>
      </c>
      <c r="F360" s="861">
        <f>'Office Minor'!F433+'Office Minor'!F61</f>
        <v>5431380938</v>
      </c>
      <c r="G360" s="861">
        <f>'Office Minor'!G433+'Office Minor'!G61</f>
        <v>1938396242</v>
      </c>
      <c r="H360" s="861">
        <f>'Office Minor'!H433+'Office Minor'!H61</f>
        <v>25198</v>
      </c>
      <c r="I360" s="523"/>
      <c r="J360" s="342">
        <f t="shared" si="78"/>
        <v>849.82686254185319</v>
      </c>
    </row>
    <row r="361" spans="1:10" s="334" customFormat="1" ht="17.100000000000001" customHeight="1" x14ac:dyDescent="0.25">
      <c r="A361" s="316">
        <v>5</v>
      </c>
      <c r="B361" s="320" t="s">
        <v>63</v>
      </c>
      <c r="C361" s="861">
        <f>'Office Minor'!C434+'Office Minor'!C62</f>
        <v>201</v>
      </c>
      <c r="D361" s="861">
        <f>'Office Minor'!D434+'Office Minor'!D62</f>
        <v>209.76</v>
      </c>
      <c r="E361" s="861">
        <f>'Office Minor'!E434+'Office Minor'!E62</f>
        <v>7798168.1299999999</v>
      </c>
      <c r="F361" s="861">
        <f>'Office Minor'!F434+'Office Minor'!F62</f>
        <v>1658047030.95</v>
      </c>
      <c r="G361" s="861">
        <f>'Office Minor'!G434+'Office Minor'!G62</f>
        <v>207518972</v>
      </c>
      <c r="H361" s="861">
        <f>'Office Minor'!H434+'Office Minor'!H62</f>
        <v>11660</v>
      </c>
      <c r="I361" s="523"/>
      <c r="J361" s="342">
        <f t="shared" si="78"/>
        <v>212.62006708619145</v>
      </c>
    </row>
    <row r="362" spans="1:10" s="334" customFormat="1" ht="17.100000000000001" customHeight="1" x14ac:dyDescent="0.25">
      <c r="A362" s="316">
        <v>6</v>
      </c>
      <c r="B362" s="320" t="s">
        <v>62</v>
      </c>
      <c r="C362" s="861">
        <f>'Office Minor'!C60</f>
        <v>6</v>
      </c>
      <c r="D362" s="861">
        <f>'Office Minor'!D60</f>
        <v>20.85</v>
      </c>
      <c r="E362" s="861">
        <f>'Office Minor'!E60</f>
        <v>7025</v>
      </c>
      <c r="F362" s="861">
        <f>'Office Minor'!F60</f>
        <v>12996250</v>
      </c>
      <c r="G362" s="861">
        <f>'Office Minor'!G60</f>
        <v>1686000</v>
      </c>
      <c r="H362" s="861">
        <f>'Office Minor'!H60</f>
        <v>145</v>
      </c>
      <c r="I362" s="523"/>
      <c r="J362" s="342">
        <f t="shared" si="78"/>
        <v>1850</v>
      </c>
    </row>
    <row r="363" spans="1:10" s="334" customFormat="1" ht="17.100000000000001" customHeight="1" x14ac:dyDescent="0.25">
      <c r="A363" s="316">
        <v>7</v>
      </c>
      <c r="B363" s="320" t="s">
        <v>65</v>
      </c>
      <c r="C363" s="861">
        <f>'Office Minor'!C435+'Office Minor'!C65</f>
        <v>3</v>
      </c>
      <c r="D363" s="861">
        <f>'Office Minor'!D435+'Office Minor'!D65</f>
        <v>3</v>
      </c>
      <c r="E363" s="861">
        <f>'Office Minor'!E435+'Office Minor'!E65</f>
        <v>1231335.5</v>
      </c>
      <c r="F363" s="861">
        <f>'Office Minor'!F435+'Office Minor'!F65</f>
        <v>39364534</v>
      </c>
      <c r="G363" s="861">
        <f>'Office Minor'!G435+'Office Minor'!G65</f>
        <v>7483259</v>
      </c>
      <c r="H363" s="861">
        <f>'Office Minor'!H435+'Office Minor'!H65</f>
        <v>1987</v>
      </c>
      <c r="I363" s="523"/>
      <c r="J363" s="342">
        <f t="shared" si="78"/>
        <v>31.968975149339883</v>
      </c>
    </row>
    <row r="364" spans="1:10" s="334" customFormat="1" ht="17.100000000000001" customHeight="1" x14ac:dyDescent="0.25">
      <c r="A364" s="316">
        <v>8</v>
      </c>
      <c r="B364" s="320" t="s">
        <v>187</v>
      </c>
      <c r="C364" s="861">
        <f>'Office Minor'!C64</f>
        <v>3</v>
      </c>
      <c r="D364" s="861">
        <f>'Office Minor'!D64</f>
        <v>3</v>
      </c>
      <c r="E364" s="861">
        <f>'Office Minor'!E64</f>
        <v>14069.68</v>
      </c>
      <c r="F364" s="861">
        <f>'Office Minor'!F64</f>
        <v>4783691.2</v>
      </c>
      <c r="G364" s="861">
        <f>'Office Minor'!G64</f>
        <v>450230</v>
      </c>
      <c r="H364" s="861">
        <f>'Office Minor'!H64</f>
        <v>20</v>
      </c>
      <c r="I364" s="523"/>
      <c r="J364" s="342">
        <f t="shared" si="78"/>
        <v>340</v>
      </c>
    </row>
    <row r="365" spans="1:10" s="334" customFormat="1" ht="17.100000000000001" customHeight="1" x14ac:dyDescent="0.25">
      <c r="A365" s="316">
        <v>9</v>
      </c>
      <c r="B365" s="320" t="s">
        <v>59</v>
      </c>
      <c r="C365" s="861">
        <f>'Office Minor'!C436+'Office Minor'!C63</f>
        <v>4</v>
      </c>
      <c r="D365" s="861">
        <f>'Office Minor'!D436+'Office Minor'!D63</f>
        <v>7297.96</v>
      </c>
      <c r="E365" s="861">
        <f>'Office Minor'!E436+'Office Minor'!E63</f>
        <v>468760</v>
      </c>
      <c r="F365" s="861">
        <f>'Office Minor'!F436+'Office Minor'!F63</f>
        <v>164066136</v>
      </c>
      <c r="G365" s="861">
        <f>'Office Minor'!G436+'Office Minor'!G63</f>
        <v>43400000</v>
      </c>
      <c r="H365" s="861">
        <f>'Office Minor'!H436+'Office Minor'!H63</f>
        <v>35</v>
      </c>
      <c r="I365" s="523"/>
      <c r="J365" s="342">
        <f t="shared" si="78"/>
        <v>350.00029012714396</v>
      </c>
    </row>
    <row r="366" spans="1:10" s="334" customFormat="1" ht="17.100000000000001" customHeight="1" x14ac:dyDescent="0.25">
      <c r="A366" s="891">
        <v>10</v>
      </c>
      <c r="B366" s="320" t="s">
        <v>659</v>
      </c>
      <c r="C366" s="861">
        <f>'Office Minor'!C437</f>
        <v>7</v>
      </c>
      <c r="D366" s="861">
        <f>'Office Minor'!D437</f>
        <v>7.89</v>
      </c>
      <c r="E366" s="861">
        <f>'Office Minor'!E437</f>
        <v>4667</v>
      </c>
      <c r="F366" s="861">
        <f>'Office Minor'!F437</f>
        <v>1166750</v>
      </c>
      <c r="G366" s="861">
        <f>'Office Minor'!G437</f>
        <v>140000</v>
      </c>
      <c r="H366" s="861">
        <f>'Office Minor'!H437</f>
        <v>15</v>
      </c>
      <c r="I366" s="523"/>
      <c r="J366" s="342"/>
    </row>
    <row r="367" spans="1:10" s="334" customFormat="1" ht="17.100000000000001" customHeight="1" x14ac:dyDescent="0.25">
      <c r="A367" s="891"/>
      <c r="B367" s="320" t="s">
        <v>75</v>
      </c>
      <c r="C367" s="861"/>
      <c r="D367" s="861"/>
      <c r="E367" s="861"/>
      <c r="F367" s="861"/>
      <c r="G367" s="861">
        <f>'Office Minor'!G438+'Office Minor'!G67</f>
        <v>116450330</v>
      </c>
      <c r="H367" s="861"/>
      <c r="I367" s="523"/>
      <c r="J367" s="342"/>
    </row>
    <row r="368" spans="1:10" s="334" customFormat="1" ht="17.100000000000001" customHeight="1" x14ac:dyDescent="0.25">
      <c r="A368" s="909"/>
      <c r="B368" s="910" t="s">
        <v>49</v>
      </c>
      <c r="C368" s="911"/>
      <c r="D368" s="911"/>
      <c r="E368" s="911"/>
      <c r="F368" s="911"/>
      <c r="G368" s="911">
        <f>'Office Minor'!G439+'Office Minor'!G68</f>
        <v>228150893</v>
      </c>
      <c r="H368" s="911"/>
      <c r="I368" s="523"/>
      <c r="J368" s="342"/>
    </row>
    <row r="369" spans="1:18" s="334" customFormat="1" ht="17.100000000000001" customHeight="1" x14ac:dyDescent="0.25">
      <c r="A369" s="1231" t="s">
        <v>50</v>
      </c>
      <c r="B369" s="1232"/>
      <c r="C369" s="497">
        <f t="shared" ref="C369:H369" si="79">SUM(C357:C368)</f>
        <v>617</v>
      </c>
      <c r="D369" s="497">
        <f t="shared" si="79"/>
        <v>9180.08</v>
      </c>
      <c r="E369" s="497">
        <f t="shared" si="79"/>
        <v>22982450.059999999</v>
      </c>
      <c r="F369" s="497">
        <f t="shared" si="79"/>
        <v>9178249056.1500015</v>
      </c>
      <c r="G369" s="497">
        <f t="shared" si="79"/>
        <v>3143597926</v>
      </c>
      <c r="H369" s="497">
        <f t="shared" si="79"/>
        <v>40308</v>
      </c>
      <c r="I369" s="523"/>
      <c r="J369" s="342"/>
    </row>
    <row r="370" spans="1:18" s="334" customFormat="1" ht="17.100000000000001" customHeight="1" x14ac:dyDescent="0.25">
      <c r="A370" s="902"/>
      <c r="B370" s="903"/>
      <c r="C370" s="903"/>
      <c r="D370" s="903"/>
      <c r="E370" s="903"/>
      <c r="F370" s="903"/>
      <c r="G370" s="903"/>
      <c r="H370" s="903"/>
      <c r="I370" s="523"/>
      <c r="J370" s="342"/>
    </row>
    <row r="371" spans="1:18" s="531" customFormat="1" ht="17.100000000000001" customHeight="1" x14ac:dyDescent="0.25">
      <c r="A371" s="1276" t="s">
        <v>288</v>
      </c>
      <c r="B371" s="1276"/>
      <c r="C371" s="1276"/>
      <c r="D371" s="1276"/>
      <c r="E371" s="1276"/>
      <c r="F371" s="1276"/>
      <c r="G371" s="1276"/>
      <c r="H371" s="1276"/>
      <c r="I371" s="524" t="e">
        <f>G387+Distt.Major!#REF!</f>
        <v>#REF!</v>
      </c>
      <c r="J371" s="342"/>
    </row>
    <row r="372" spans="1:18" s="334" customFormat="1" ht="17.100000000000001" customHeight="1" x14ac:dyDescent="0.25">
      <c r="A372" s="1225" t="s">
        <v>182</v>
      </c>
      <c r="B372" s="1225" t="s">
        <v>3</v>
      </c>
      <c r="C372" s="1225" t="s">
        <v>4</v>
      </c>
      <c r="D372" s="834" t="s">
        <v>5</v>
      </c>
      <c r="E372" s="833" t="s">
        <v>6</v>
      </c>
      <c r="F372" s="833" t="s">
        <v>7</v>
      </c>
      <c r="G372" s="833" t="s">
        <v>8</v>
      </c>
      <c r="H372" s="68" t="s">
        <v>9</v>
      </c>
      <c r="I372" s="530"/>
      <c r="J372" s="342"/>
    </row>
    <row r="373" spans="1:18" s="334" customFormat="1" ht="17.100000000000001" customHeight="1" x14ac:dyDescent="0.25">
      <c r="A373" s="1230"/>
      <c r="B373" s="1230"/>
      <c r="C373" s="1230"/>
      <c r="D373" s="835" t="s">
        <v>78</v>
      </c>
      <c r="E373" s="836" t="s">
        <v>79</v>
      </c>
      <c r="F373" s="836" t="s">
        <v>80</v>
      </c>
      <c r="G373" s="836" t="s">
        <v>80</v>
      </c>
      <c r="H373" s="69" t="s">
        <v>13</v>
      </c>
      <c r="I373" s="530"/>
      <c r="J373" s="342"/>
    </row>
    <row r="374" spans="1:18" s="334" customFormat="1" ht="17.100000000000001" customHeight="1" x14ac:dyDescent="0.25">
      <c r="A374" s="891">
        <v>1</v>
      </c>
      <c r="B374" s="320" t="s">
        <v>71</v>
      </c>
      <c r="C374" s="320">
        <f>'Office Minor'!C445</f>
        <v>98</v>
      </c>
      <c r="D374" s="320">
        <f>'Office Minor'!D445</f>
        <v>2402.69</v>
      </c>
      <c r="E374" s="320">
        <f>'Office Minor'!E445</f>
        <v>419479</v>
      </c>
      <c r="F374" s="320">
        <f>'Office Minor'!F445</f>
        <v>188765550</v>
      </c>
      <c r="G374" s="320">
        <f>'Office Minor'!G445</f>
        <v>8141938</v>
      </c>
      <c r="H374" s="320">
        <f>'Office Minor'!H445</f>
        <v>34</v>
      </c>
      <c r="I374" s="530"/>
      <c r="J374" s="342">
        <f>F374/E374</f>
        <v>450</v>
      </c>
    </row>
    <row r="375" spans="1:18" s="334" customFormat="1" ht="17.100000000000001" customHeight="1" x14ac:dyDescent="0.25">
      <c r="A375" s="316">
        <v>2</v>
      </c>
      <c r="B375" s="320" t="s">
        <v>201</v>
      </c>
      <c r="C375" s="320">
        <f>'Office Minor'!C446</f>
        <v>2</v>
      </c>
      <c r="D375" s="320">
        <f>'Office Minor'!D446</f>
        <v>6.23</v>
      </c>
      <c r="E375" s="320">
        <f>'Office Minor'!E446</f>
        <v>0</v>
      </c>
      <c r="F375" s="320">
        <f>'Office Minor'!F446</f>
        <v>0</v>
      </c>
      <c r="G375" s="320">
        <f>'Office Minor'!G446</f>
        <v>0</v>
      </c>
      <c r="H375" s="320">
        <f>'Office Minor'!H446</f>
        <v>0</v>
      </c>
      <c r="I375" s="530"/>
      <c r="J375" s="342" t="e">
        <f t="shared" ref="J375:J384" si="80">F375/E375</f>
        <v>#DIV/0!</v>
      </c>
    </row>
    <row r="376" spans="1:18" s="334" customFormat="1" ht="17.100000000000001" customHeight="1" x14ac:dyDescent="0.25">
      <c r="A376" s="891">
        <v>3</v>
      </c>
      <c r="B376" s="320" t="s">
        <v>63</v>
      </c>
      <c r="C376" s="320">
        <f>'Office Minor'!C447</f>
        <v>96</v>
      </c>
      <c r="D376" s="320">
        <f>'Office Minor'!D447</f>
        <v>207.6</v>
      </c>
      <c r="E376" s="320">
        <f>'Office Minor'!E447</f>
        <v>648732</v>
      </c>
      <c r="F376" s="320">
        <f>'Office Minor'!F447</f>
        <v>116771760</v>
      </c>
      <c r="G376" s="320">
        <f>'Office Minor'!G447</f>
        <v>19461960</v>
      </c>
      <c r="H376" s="320">
        <f>'Office Minor'!H447</f>
        <v>150</v>
      </c>
      <c r="I376" s="530"/>
      <c r="J376" s="342">
        <f t="shared" si="80"/>
        <v>180</v>
      </c>
    </row>
    <row r="377" spans="1:18" s="334" customFormat="1" ht="17.100000000000001" customHeight="1" x14ac:dyDescent="0.25">
      <c r="A377" s="316">
        <v>4</v>
      </c>
      <c r="B377" s="320" t="s">
        <v>202</v>
      </c>
      <c r="C377" s="320">
        <f>'Office Minor'!C448</f>
        <v>1</v>
      </c>
      <c r="D377" s="320">
        <f>'Office Minor'!D448</f>
        <v>1.39</v>
      </c>
      <c r="E377" s="320">
        <f>'Office Minor'!E448</f>
        <v>0</v>
      </c>
      <c r="F377" s="320">
        <f>'Office Minor'!F448</f>
        <v>0</v>
      </c>
      <c r="G377" s="320">
        <f>'Office Minor'!G448</f>
        <v>0</v>
      </c>
      <c r="H377" s="320">
        <f>'Office Minor'!H448</f>
        <v>0</v>
      </c>
      <c r="I377" s="530"/>
      <c r="J377" s="342" t="e">
        <f t="shared" si="80"/>
        <v>#DIV/0!</v>
      </c>
    </row>
    <row r="378" spans="1:18" s="334" customFormat="1" ht="17.100000000000001" customHeight="1" x14ac:dyDescent="0.25">
      <c r="A378" s="891">
        <v>5</v>
      </c>
      <c r="B378" s="320" t="s">
        <v>58</v>
      </c>
      <c r="C378" s="320">
        <f>'Office Minor'!C449</f>
        <v>1</v>
      </c>
      <c r="D378" s="320">
        <f>'Office Minor'!D449</f>
        <v>1</v>
      </c>
      <c r="E378" s="320">
        <f>'Office Minor'!E449</f>
        <v>0</v>
      </c>
      <c r="F378" s="320">
        <f>'Office Minor'!F449</f>
        <v>0</v>
      </c>
      <c r="G378" s="320">
        <f>'Office Minor'!G449</f>
        <v>0</v>
      </c>
      <c r="H378" s="320">
        <f>'Office Minor'!H449</f>
        <v>0</v>
      </c>
      <c r="I378" s="530"/>
      <c r="J378" s="342" t="e">
        <f t="shared" si="80"/>
        <v>#DIV/0!</v>
      </c>
    </row>
    <row r="379" spans="1:18" s="334" customFormat="1" ht="17.100000000000001" customHeight="1" x14ac:dyDescent="0.25">
      <c r="A379" s="316">
        <v>6</v>
      </c>
      <c r="B379" s="320" t="s">
        <v>59</v>
      </c>
      <c r="C379" s="320">
        <f>'Office Minor'!C450</f>
        <v>0</v>
      </c>
      <c r="D379" s="320">
        <f>'Office Minor'!D450</f>
        <v>0</v>
      </c>
      <c r="E379" s="320">
        <f>'Office Minor'!E450</f>
        <v>0</v>
      </c>
      <c r="F379" s="320">
        <f>'Office Minor'!F450</f>
        <v>0</v>
      </c>
      <c r="G379" s="320">
        <f>'Office Minor'!G450</f>
        <v>0</v>
      </c>
      <c r="H379" s="320">
        <f>'Office Minor'!H450</f>
        <v>0</v>
      </c>
      <c r="I379" s="530"/>
      <c r="J379" s="342" t="e">
        <f t="shared" si="80"/>
        <v>#DIV/0!</v>
      </c>
    </row>
    <row r="380" spans="1:18" s="334" customFormat="1" ht="17.100000000000001" customHeight="1" x14ac:dyDescent="0.25">
      <c r="A380" s="891">
        <v>7</v>
      </c>
      <c r="B380" s="320" t="s">
        <v>390</v>
      </c>
      <c r="C380" s="320">
        <f>'Office Minor'!C451</f>
        <v>38</v>
      </c>
      <c r="D380" s="320">
        <f>'Office Minor'!D451</f>
        <v>635.41</v>
      </c>
      <c r="E380" s="320">
        <f>'Office Minor'!E451</f>
        <v>315509</v>
      </c>
      <c r="F380" s="320">
        <f>'Office Minor'!F451</f>
        <v>189305400</v>
      </c>
      <c r="G380" s="320">
        <f>'Office Minor'!G451</f>
        <v>329297191</v>
      </c>
      <c r="H380" s="320">
        <f>'Office Minor'!H451</f>
        <v>140</v>
      </c>
      <c r="I380" s="530"/>
      <c r="J380" s="342">
        <f t="shared" si="80"/>
        <v>600</v>
      </c>
    </row>
    <row r="381" spans="1:18" s="334" customFormat="1" ht="17.100000000000001" customHeight="1" x14ac:dyDescent="0.25">
      <c r="A381" s="316">
        <v>8</v>
      </c>
      <c r="B381" s="320" t="s">
        <v>65</v>
      </c>
      <c r="C381" s="320">
        <f>'Office Minor'!C452</f>
        <v>0</v>
      </c>
      <c r="D381" s="320">
        <f>'Office Minor'!D452</f>
        <v>0</v>
      </c>
      <c r="E381" s="320">
        <f>'Office Minor'!E452</f>
        <v>0</v>
      </c>
      <c r="F381" s="320">
        <f>'Office Minor'!F452</f>
        <v>0</v>
      </c>
      <c r="G381" s="320">
        <f>'Office Minor'!G452</f>
        <v>0</v>
      </c>
      <c r="H381" s="320">
        <f>'Office Minor'!H452</f>
        <v>0</v>
      </c>
      <c r="I381" s="530"/>
      <c r="J381" s="342" t="e">
        <f t="shared" si="80"/>
        <v>#DIV/0!</v>
      </c>
    </row>
    <row r="382" spans="1:18" s="334" customFormat="1" ht="17.100000000000001" customHeight="1" x14ac:dyDescent="0.25">
      <c r="A382" s="891">
        <v>9</v>
      </c>
      <c r="B382" s="320" t="s">
        <v>54</v>
      </c>
      <c r="C382" s="320">
        <f>'Office Minor'!C453</f>
        <v>15</v>
      </c>
      <c r="D382" s="320">
        <f>'Office Minor'!D453</f>
        <v>35</v>
      </c>
      <c r="E382" s="320">
        <f>'Office Minor'!E453</f>
        <v>0</v>
      </c>
      <c r="F382" s="320">
        <f>'Office Minor'!F453</f>
        <v>0</v>
      </c>
      <c r="G382" s="320">
        <f>'Office Minor'!G453</f>
        <v>0</v>
      </c>
      <c r="H382" s="320">
        <f>'Office Minor'!H453</f>
        <v>0</v>
      </c>
      <c r="I382" s="530"/>
      <c r="J382" s="342" t="e">
        <f t="shared" si="80"/>
        <v>#DIV/0!</v>
      </c>
    </row>
    <row r="383" spans="1:18" s="334" customFormat="1" ht="17.100000000000001" customHeight="1" x14ac:dyDescent="0.25">
      <c r="A383" s="316">
        <v>10</v>
      </c>
      <c r="B383" s="317" t="s">
        <v>387</v>
      </c>
      <c r="C383" s="320">
        <f>'Office Minor'!C454</f>
        <v>13</v>
      </c>
      <c r="D383" s="320">
        <f>'Office Minor'!D454</f>
        <v>62</v>
      </c>
      <c r="E383" s="320">
        <f>'Office Minor'!E454</f>
        <v>83442</v>
      </c>
      <c r="F383" s="320">
        <f>'Office Minor'!F454</f>
        <v>25032600</v>
      </c>
      <c r="G383" s="320">
        <f>'Office Minor'!G454</f>
        <v>2275513</v>
      </c>
      <c r="H383" s="320">
        <f>'Office Minor'!H454</f>
        <v>25</v>
      </c>
      <c r="I383" s="530"/>
      <c r="J383" s="342">
        <f t="shared" si="80"/>
        <v>300</v>
      </c>
    </row>
    <row r="384" spans="1:18" s="334" customFormat="1" ht="17.100000000000001" customHeight="1" x14ac:dyDescent="0.25">
      <c r="A384" s="891">
        <v>11</v>
      </c>
      <c r="B384" s="317" t="s">
        <v>46</v>
      </c>
      <c r="C384" s="320">
        <f>'Office Minor'!C455</f>
        <v>7</v>
      </c>
      <c r="D384" s="320">
        <f>'Office Minor'!D455</f>
        <v>268.73</v>
      </c>
      <c r="E384" s="320">
        <f>'Office Minor'!E455</f>
        <v>19200</v>
      </c>
      <c r="F384" s="320">
        <f>'Office Minor'!F455</f>
        <v>26846400</v>
      </c>
      <c r="G384" s="320">
        <f>'Office Minor'!G455</f>
        <v>1913703</v>
      </c>
      <c r="H384" s="320">
        <f>'Office Minor'!H455</f>
        <v>20</v>
      </c>
      <c r="I384" s="532"/>
      <c r="J384" s="342">
        <f t="shared" si="80"/>
        <v>1398.25</v>
      </c>
      <c r="M384" s="334">
        <f>M386-M387</f>
        <v>78</v>
      </c>
      <c r="N384" s="334">
        <f t="shared" ref="N384:R384" si="81">N386-N387</f>
        <v>78.599999999999994</v>
      </c>
      <c r="O384" s="334">
        <f t="shared" si="81"/>
        <v>2057420</v>
      </c>
      <c r="P384" s="334">
        <f t="shared" si="81"/>
        <v>432058300</v>
      </c>
      <c r="Q384" s="334">
        <f t="shared" si="81"/>
        <v>195302894</v>
      </c>
      <c r="R384" s="334">
        <f t="shared" si="81"/>
        <v>234</v>
      </c>
    </row>
    <row r="385" spans="1:18" s="334" customFormat="1" ht="17.100000000000001" customHeight="1" x14ac:dyDescent="0.25">
      <c r="A385" s="891"/>
      <c r="B385" s="320" t="s">
        <v>75</v>
      </c>
      <c r="C385" s="320"/>
      <c r="D385" s="320"/>
      <c r="E385" s="320"/>
      <c r="F385" s="320"/>
      <c r="G385" s="320">
        <f>'Office Minor'!G456</f>
        <v>18682377</v>
      </c>
      <c r="H385" s="320"/>
      <c r="I385" s="530"/>
      <c r="J385" s="342"/>
    </row>
    <row r="386" spans="1:18" s="334" customFormat="1" ht="17.100000000000001" customHeight="1" x14ac:dyDescent="0.25">
      <c r="A386" s="891"/>
      <c r="B386" s="320" t="s">
        <v>49</v>
      </c>
      <c r="C386" s="320"/>
      <c r="D386" s="320"/>
      <c r="E386" s="320"/>
      <c r="F386" s="320"/>
      <c r="G386" s="320">
        <f>'Office Minor'!G457</f>
        <v>56879819</v>
      </c>
      <c r="H386" s="320"/>
      <c r="I386" s="530"/>
      <c r="J386" s="342"/>
      <c r="L386" s="334" t="s">
        <v>598</v>
      </c>
      <c r="M386" s="334">
        <f>'Office Minor'!C464</f>
        <v>78</v>
      </c>
      <c r="N386" s="334">
        <f>'Office Minor'!D464</f>
        <v>78.599999999999994</v>
      </c>
      <c r="O386" s="334">
        <f>'Office Minor'!E464</f>
        <v>2057420</v>
      </c>
      <c r="P386" s="334">
        <f>'Office Minor'!F464</f>
        <v>432058300</v>
      </c>
      <c r="Q386" s="334">
        <f>'Office Minor'!G464</f>
        <v>195302894</v>
      </c>
      <c r="R386" s="334">
        <f>'Office Minor'!H464</f>
        <v>234</v>
      </c>
    </row>
    <row r="387" spans="1:18" s="334" customFormat="1" ht="17.100000000000001" customHeight="1" x14ac:dyDescent="0.25">
      <c r="A387" s="1231" t="s">
        <v>50</v>
      </c>
      <c r="B387" s="1232"/>
      <c r="C387" s="497">
        <f t="shared" ref="C387:H387" si="82">SUM(C374:C386)</f>
        <v>271</v>
      </c>
      <c r="D387" s="498">
        <f t="shared" si="82"/>
        <v>3620.0499999999997</v>
      </c>
      <c r="E387" s="499">
        <f t="shared" si="82"/>
        <v>1486362</v>
      </c>
      <c r="F387" s="499">
        <f t="shared" si="82"/>
        <v>546721710</v>
      </c>
      <c r="G387" s="499">
        <f t="shared" si="82"/>
        <v>436652501</v>
      </c>
      <c r="H387" s="878">
        <f t="shared" si="82"/>
        <v>369</v>
      </c>
      <c r="I387" s="532">
        <f>G387</f>
        <v>436652501</v>
      </c>
      <c r="J387" s="342"/>
      <c r="M387" s="334">
        <f>L174</f>
        <v>0</v>
      </c>
      <c r="N387" s="334">
        <f t="shared" ref="N387:R387" si="83">M174</f>
        <v>0</v>
      </c>
      <c r="O387" s="334">
        <f t="shared" si="83"/>
        <v>0</v>
      </c>
      <c r="P387" s="334">
        <f t="shared" si="83"/>
        <v>0</v>
      </c>
      <c r="Q387" s="334">
        <f t="shared" si="83"/>
        <v>0</v>
      </c>
      <c r="R387" s="334">
        <f t="shared" si="83"/>
        <v>0</v>
      </c>
    </row>
    <row r="388" spans="1:18" s="334" customFormat="1" ht="17.100000000000001" customHeight="1" x14ac:dyDescent="0.25">
      <c r="A388" s="513"/>
      <c r="B388" s="513"/>
      <c r="C388" s="513"/>
      <c r="D388" s="513"/>
      <c r="E388" s="513"/>
      <c r="F388" s="513"/>
      <c r="G388" s="513"/>
      <c r="H388" s="513"/>
      <c r="I388" s="523"/>
      <c r="J388" s="342"/>
    </row>
    <row r="389" spans="1:18" s="334" customFormat="1" ht="17.100000000000001" customHeight="1" x14ac:dyDescent="0.25">
      <c r="A389" s="1275" t="s">
        <v>274</v>
      </c>
      <c r="B389" s="1275"/>
      <c r="C389" s="1275"/>
      <c r="D389" s="1275"/>
      <c r="E389" s="1275"/>
      <c r="F389" s="1275"/>
      <c r="G389" s="1275"/>
      <c r="H389" s="1275"/>
      <c r="I389" s="523"/>
      <c r="J389" s="342"/>
      <c r="K389" s="334" t="s">
        <v>489</v>
      </c>
      <c r="L389" s="334" t="s">
        <v>274</v>
      </c>
      <c r="M389" s="763">
        <f>M407</f>
        <v>78</v>
      </c>
      <c r="N389" s="763">
        <f t="shared" ref="N389:R389" si="84">N407</f>
        <v>78.599999999999994</v>
      </c>
      <c r="O389" s="763">
        <f t="shared" si="84"/>
        <v>2057420</v>
      </c>
      <c r="P389" s="763">
        <f t="shared" si="84"/>
        <v>432058300</v>
      </c>
      <c r="Q389" s="763">
        <f t="shared" si="84"/>
        <v>195302894</v>
      </c>
      <c r="R389" s="763">
        <f t="shared" si="84"/>
        <v>234</v>
      </c>
    </row>
    <row r="390" spans="1:18" s="334" customFormat="1" ht="17.100000000000001" customHeight="1" x14ac:dyDescent="0.25">
      <c r="A390" s="1225" t="s">
        <v>182</v>
      </c>
      <c r="B390" s="1225" t="s">
        <v>3</v>
      </c>
      <c r="C390" s="1225" t="s">
        <v>4</v>
      </c>
      <c r="D390" s="834" t="s">
        <v>5</v>
      </c>
      <c r="E390" s="833" t="s">
        <v>6</v>
      </c>
      <c r="F390" s="833" t="s">
        <v>7</v>
      </c>
      <c r="G390" s="912" t="s">
        <v>8</v>
      </c>
      <c r="H390" s="70" t="s">
        <v>9</v>
      </c>
      <c r="I390" s="523"/>
      <c r="J390" s="342"/>
      <c r="L390" s="334" t="s">
        <v>490</v>
      </c>
      <c r="M390" s="334">
        <f>'Office Minor'!C619</f>
        <v>13</v>
      </c>
      <c r="N390" s="334">
        <f>'Office Minor'!D619</f>
        <v>14.37</v>
      </c>
      <c r="O390" s="334">
        <f>'Office Minor'!E619</f>
        <v>361758</v>
      </c>
      <c r="P390" s="334">
        <f>'Office Minor'!F619</f>
        <v>75969323</v>
      </c>
      <c r="Q390" s="334">
        <f>'Office Minor'!G619</f>
        <v>623218</v>
      </c>
      <c r="R390" s="334">
        <f>'Office Minor'!H619</f>
        <v>50</v>
      </c>
    </row>
    <row r="391" spans="1:18" s="334" customFormat="1" ht="17.100000000000001" customHeight="1" x14ac:dyDescent="0.25">
      <c r="A391" s="1230"/>
      <c r="B391" s="1230"/>
      <c r="C391" s="1230"/>
      <c r="D391" s="835" t="s">
        <v>78</v>
      </c>
      <c r="E391" s="836" t="s">
        <v>79</v>
      </c>
      <c r="F391" s="836" t="s">
        <v>80</v>
      </c>
      <c r="G391" s="913" t="s">
        <v>80</v>
      </c>
      <c r="H391" s="71" t="s">
        <v>13</v>
      </c>
      <c r="I391" s="523"/>
      <c r="J391" s="342"/>
      <c r="M391" s="707">
        <f>M389+M390</f>
        <v>91</v>
      </c>
      <c r="N391" s="707">
        <f t="shared" ref="N391:R391" si="85">N389+N390</f>
        <v>92.97</v>
      </c>
      <c r="O391" s="707">
        <f t="shared" si="85"/>
        <v>2419178</v>
      </c>
      <c r="P391" s="707">
        <f t="shared" si="85"/>
        <v>508027623</v>
      </c>
      <c r="Q391" s="707">
        <f t="shared" si="85"/>
        <v>195926112</v>
      </c>
      <c r="R391" s="707">
        <f t="shared" si="85"/>
        <v>284</v>
      </c>
    </row>
    <row r="392" spans="1:18" s="334" customFormat="1" ht="17.100000000000001" customHeight="1" x14ac:dyDescent="0.25">
      <c r="A392" s="852">
        <v>1</v>
      </c>
      <c r="B392" s="853" t="s">
        <v>144</v>
      </c>
      <c r="C392" s="873">
        <f>'Office Minor'!C466+'Office Minor'!C617</f>
        <v>17</v>
      </c>
      <c r="D392" s="873">
        <f>'Office Minor'!D466+'Office Minor'!D617</f>
        <v>50.58</v>
      </c>
      <c r="E392" s="873">
        <f>'Office Minor'!E466+'Office Minor'!E617</f>
        <v>50480</v>
      </c>
      <c r="F392" s="873">
        <f>'Office Minor'!F466+'Office Minor'!F617</f>
        <v>58052920</v>
      </c>
      <c r="G392" s="873">
        <f>'Office Minor'!G466+'Office Minor'!G617</f>
        <v>365706975</v>
      </c>
      <c r="H392" s="873">
        <f>'Office Minor'!H466+'Office Minor'!H617</f>
        <v>100</v>
      </c>
      <c r="I392" s="523"/>
      <c r="J392" s="342">
        <f>F392/E392</f>
        <v>1150.0182250396197</v>
      </c>
      <c r="K392" s="334" t="s">
        <v>486</v>
      </c>
      <c r="L392" s="334" t="s">
        <v>487</v>
      </c>
      <c r="M392" s="334">
        <f>'Office Minor'!C618</f>
        <v>1</v>
      </c>
      <c r="N392" s="334">
        <f>'Office Minor'!D618</f>
        <v>0.72</v>
      </c>
      <c r="O392" s="334">
        <f>'Office Minor'!E618</f>
        <v>0</v>
      </c>
      <c r="P392" s="334">
        <f>'Office Minor'!F618</f>
        <v>0</v>
      </c>
      <c r="Q392" s="334">
        <v>0</v>
      </c>
      <c r="R392" s="334">
        <f>'Office Minor'!H618</f>
        <v>0</v>
      </c>
    </row>
    <row r="393" spans="1:18" s="334" customFormat="1" ht="17.100000000000001" customHeight="1" x14ac:dyDescent="0.25">
      <c r="A393" s="318">
        <v>2</v>
      </c>
      <c r="B393" s="321" t="s">
        <v>71</v>
      </c>
      <c r="C393" s="873">
        <f>'Office Minor'!C463+'Office Minor'!C618</f>
        <v>7</v>
      </c>
      <c r="D393" s="873">
        <f>'Office Minor'!D463+'Office Minor'!D618</f>
        <v>10.72</v>
      </c>
      <c r="E393" s="873">
        <f>'Office Minor'!E463+'Office Minor'!E618</f>
        <v>43284</v>
      </c>
      <c r="F393" s="873">
        <f>'Office Minor'!F463+'Office Minor'!F618</f>
        <v>32463918</v>
      </c>
      <c r="G393" s="873">
        <f>'Office Minor'!G463+'Office Minor'!G618</f>
        <v>3154204</v>
      </c>
      <c r="H393" s="873">
        <f>'Office Minor'!H463+'Office Minor'!H618</f>
        <v>14</v>
      </c>
      <c r="I393" s="523"/>
      <c r="J393" s="342">
        <f t="shared" ref="J393:J395" si="86">F393/E393</f>
        <v>750.02120876074298</v>
      </c>
      <c r="L393" s="334" t="s">
        <v>274</v>
      </c>
      <c r="R393" s="334">
        <v>0</v>
      </c>
    </row>
    <row r="394" spans="1:18" s="334" customFormat="1" ht="17.100000000000001" customHeight="1" x14ac:dyDescent="0.25">
      <c r="A394" s="318">
        <v>3</v>
      </c>
      <c r="B394" s="321" t="s">
        <v>63</v>
      </c>
      <c r="C394" s="873">
        <f>'Office Minor'!C464+'Office Minor'!C619</f>
        <v>91</v>
      </c>
      <c r="D394" s="873">
        <f>'Office Minor'!D464+'Office Minor'!D619</f>
        <v>92.97</v>
      </c>
      <c r="E394" s="873">
        <f>'Office Minor'!E464+'Office Minor'!E619</f>
        <v>2419178</v>
      </c>
      <c r="F394" s="873">
        <f>'Office Minor'!F464+'Office Minor'!F619</f>
        <v>508027623</v>
      </c>
      <c r="G394" s="873">
        <f>'Office Minor'!G464+'Office Minor'!G619</f>
        <v>195926112</v>
      </c>
      <c r="H394" s="873">
        <f>'Office Minor'!H464+'Office Minor'!H619</f>
        <v>284</v>
      </c>
      <c r="I394" s="523"/>
      <c r="J394" s="342">
        <f t="shared" si="86"/>
        <v>210.00010044734202</v>
      </c>
      <c r="M394" s="707">
        <f>M392+M393</f>
        <v>1</v>
      </c>
      <c r="N394" s="707">
        <f t="shared" ref="N394:R394" si="87">N392+N393</f>
        <v>0.72</v>
      </c>
      <c r="O394" s="707">
        <f t="shared" si="87"/>
        <v>0</v>
      </c>
      <c r="P394" s="707">
        <f t="shared" si="87"/>
        <v>0</v>
      </c>
      <c r="Q394" s="707">
        <f>Q392+Q393</f>
        <v>0</v>
      </c>
      <c r="R394" s="707">
        <f t="shared" si="87"/>
        <v>0</v>
      </c>
    </row>
    <row r="395" spans="1:18" s="334" customFormat="1" ht="17.100000000000001" customHeight="1" x14ac:dyDescent="0.25">
      <c r="A395" s="318">
        <v>4</v>
      </c>
      <c r="B395" s="321" t="s">
        <v>59</v>
      </c>
      <c r="C395" s="873">
        <f>'Office Minor'!C467+'Office Minor'!C620</f>
        <v>2</v>
      </c>
      <c r="D395" s="873">
        <f>'Office Minor'!D467+'Office Minor'!D620</f>
        <v>341.45</v>
      </c>
      <c r="E395" s="873">
        <f>'Office Minor'!E467+'Office Minor'!E620</f>
        <v>252668</v>
      </c>
      <c r="F395" s="873">
        <f>'Office Minor'!F467+'Office Minor'!F620</f>
        <v>138967876</v>
      </c>
      <c r="G395" s="873">
        <f>'Office Minor'!G467+'Office Minor'!G620</f>
        <v>11370099</v>
      </c>
      <c r="H395" s="873">
        <f>'Office Minor'!H467+'Office Minor'!H620</f>
        <v>150</v>
      </c>
      <c r="I395" s="523"/>
      <c r="J395" s="342">
        <f t="shared" si="86"/>
        <v>550.00188389507184</v>
      </c>
    </row>
    <row r="396" spans="1:18" s="334" customFormat="1" ht="17.100000000000001" customHeight="1" x14ac:dyDescent="0.25">
      <c r="A396" s="318">
        <v>5</v>
      </c>
      <c r="B396" s="321" t="s">
        <v>65</v>
      </c>
      <c r="C396" s="873">
        <f>'Office Minor'!C468+'Office Minor'!C621</f>
        <v>0</v>
      </c>
      <c r="D396" s="873">
        <f>'Office Minor'!D468+'Office Minor'!D621</f>
        <v>0</v>
      </c>
      <c r="E396" s="873">
        <f>'Office Minor'!E468+'Office Minor'!E621</f>
        <v>11813432</v>
      </c>
      <c r="F396" s="873">
        <f>'Office Minor'!F468+'Office Minor'!F621</f>
        <v>295335800</v>
      </c>
      <c r="G396" s="873">
        <f>'Office Minor'!G468+'Office Minor'!G621</f>
        <v>63171668</v>
      </c>
      <c r="H396" s="873">
        <f>'Office Minor'!H468+'Office Minor'!H621</f>
        <v>275</v>
      </c>
      <c r="I396" s="523"/>
      <c r="J396" s="342"/>
    </row>
    <row r="397" spans="1:18" s="334" customFormat="1" ht="17.100000000000001" customHeight="1" x14ac:dyDescent="0.25">
      <c r="A397" s="318">
        <v>6</v>
      </c>
      <c r="B397" s="853" t="s">
        <v>60</v>
      </c>
      <c r="C397" s="873">
        <f>'Office Minor'!C622</f>
        <v>34</v>
      </c>
      <c r="D397" s="873">
        <f>'Office Minor'!D622</f>
        <v>1265.1300000000001</v>
      </c>
      <c r="E397" s="873">
        <f>'Office Minor'!E622</f>
        <v>2526730</v>
      </c>
      <c r="F397" s="873">
        <f>'Office Minor'!F622</f>
        <v>909622792</v>
      </c>
      <c r="G397" s="873">
        <f>'Office Minor'!G622</f>
        <v>111760719</v>
      </c>
      <c r="H397" s="873">
        <f>'Office Minor'!H622</f>
        <v>100</v>
      </c>
      <c r="I397" s="523"/>
      <c r="J397" s="342"/>
    </row>
    <row r="398" spans="1:18" s="334" customFormat="1" ht="17.100000000000001" customHeight="1" x14ac:dyDescent="0.25">
      <c r="A398" s="318"/>
      <c r="B398" s="321" t="s">
        <v>75</v>
      </c>
      <c r="C398" s="873">
        <f>'Office Minor'!C470+'Office Minor'!C623</f>
        <v>0</v>
      </c>
      <c r="D398" s="873">
        <f>'Office Minor'!D470+'Office Minor'!D623</f>
        <v>0</v>
      </c>
      <c r="E398" s="873">
        <f>'Office Minor'!E470+'Office Minor'!E623</f>
        <v>0</v>
      </c>
      <c r="F398" s="873">
        <f>'Office Minor'!F470+'Office Minor'!F623</f>
        <v>0</v>
      </c>
      <c r="G398" s="873">
        <f>'Office Minor'!G470+'Office Minor'!G623</f>
        <v>103967</v>
      </c>
      <c r="H398" s="873">
        <f>'Office Minor'!H470+'Office Minor'!H623</f>
        <v>0</v>
      </c>
      <c r="I398" s="523"/>
      <c r="J398" s="342"/>
      <c r="L398" s="334" t="s">
        <v>491</v>
      </c>
      <c r="M398" s="334" t="s">
        <v>488</v>
      </c>
      <c r="N398" s="759">
        <v>1137386</v>
      </c>
      <c r="O398" s="334" t="s">
        <v>493</v>
      </c>
      <c r="P398" s="423">
        <v>37552387</v>
      </c>
    </row>
    <row r="399" spans="1:18" s="334" customFormat="1" ht="17.100000000000001" customHeight="1" x14ac:dyDescent="0.25">
      <c r="A399" s="321"/>
      <c r="B399" s="321" t="s">
        <v>49</v>
      </c>
      <c r="C399" s="873">
        <f>'Office Minor'!C471+'Office Minor'!C624</f>
        <v>0</v>
      </c>
      <c r="D399" s="873">
        <f>'Office Minor'!D471+'Office Minor'!D624</f>
        <v>0</v>
      </c>
      <c r="E399" s="873">
        <f>'Office Minor'!E471+'Office Minor'!E624</f>
        <v>0</v>
      </c>
      <c r="F399" s="873">
        <f>'Office Minor'!F471+'Office Minor'!F624</f>
        <v>0</v>
      </c>
      <c r="G399" s="873">
        <f>'Office Minor'!G471+'Office Minor'!G624</f>
        <v>357242268</v>
      </c>
      <c r="H399" s="873">
        <f>'Office Minor'!H471+'Office Minor'!H624</f>
        <v>0</v>
      </c>
      <c r="I399" s="523"/>
      <c r="J399" s="342"/>
      <c r="M399" s="334" t="s">
        <v>492</v>
      </c>
      <c r="N399" s="342">
        <f>'Office Minor'!G624</f>
        <v>296833968</v>
      </c>
      <c r="P399" s="342">
        <f>'Office Minor'!G623</f>
        <v>103967</v>
      </c>
    </row>
    <row r="400" spans="1:18" s="334" customFormat="1" ht="17.100000000000001" customHeight="1" x14ac:dyDescent="0.25">
      <c r="A400" s="1237" t="s">
        <v>50</v>
      </c>
      <c r="B400" s="1238"/>
      <c r="C400" s="497">
        <f t="shared" ref="C400:H400" si="88">SUM(C392:C399)</f>
        <v>151</v>
      </c>
      <c r="D400" s="498">
        <f t="shared" si="88"/>
        <v>1760.8500000000001</v>
      </c>
      <c r="E400" s="498">
        <f t="shared" si="88"/>
        <v>17105772</v>
      </c>
      <c r="F400" s="499">
        <f>SUM(F392:F399)</f>
        <v>1942470929</v>
      </c>
      <c r="G400" s="499">
        <f>SUM(G392:G399)</f>
        <v>1108436012</v>
      </c>
      <c r="H400" s="915">
        <f t="shared" si="88"/>
        <v>923</v>
      </c>
      <c r="I400" s="523"/>
      <c r="J400" s="342"/>
      <c r="N400" s="379">
        <f>N399+N398</f>
        <v>297971354</v>
      </c>
      <c r="O400" s="707"/>
      <c r="P400" s="379">
        <f>P398+P399</f>
        <v>37656354</v>
      </c>
    </row>
    <row r="401" spans="1:18" s="334" customFormat="1" ht="17.100000000000001" customHeight="1" x14ac:dyDescent="0.25">
      <c r="A401" s="513"/>
      <c r="B401" s="513"/>
      <c r="C401" s="513"/>
      <c r="D401" s="513"/>
      <c r="E401" s="513"/>
      <c r="F401" s="513"/>
      <c r="G401" s="513"/>
      <c r="H401" s="513"/>
      <c r="I401" s="524">
        <f>G420+Distt.Major!G135</f>
        <v>3390678679</v>
      </c>
      <c r="J401" s="342"/>
    </row>
    <row r="402" spans="1:18" s="334" customFormat="1" ht="17.100000000000001" customHeight="1" x14ac:dyDescent="0.25">
      <c r="A402" s="1264" t="s">
        <v>259</v>
      </c>
      <c r="B402" s="1264"/>
      <c r="C402" s="1264"/>
      <c r="D402" s="1264"/>
      <c r="E402" s="1264"/>
      <c r="F402" s="1264"/>
      <c r="G402" s="1264"/>
      <c r="H402" s="1264"/>
      <c r="I402" s="523"/>
      <c r="J402" s="342"/>
    </row>
    <row r="403" spans="1:18" s="334" customFormat="1" ht="17.100000000000001" customHeight="1" x14ac:dyDescent="0.25">
      <c r="A403" s="1225" t="s">
        <v>182</v>
      </c>
      <c r="B403" s="1225" t="s">
        <v>3</v>
      </c>
      <c r="C403" s="1225" t="s">
        <v>4</v>
      </c>
      <c r="D403" s="834" t="s">
        <v>5</v>
      </c>
      <c r="E403" s="833" t="s">
        <v>6</v>
      </c>
      <c r="F403" s="833" t="s">
        <v>7</v>
      </c>
      <c r="G403" s="833" t="s">
        <v>8</v>
      </c>
      <c r="H403" s="68" t="s">
        <v>9</v>
      </c>
      <c r="I403" s="523"/>
      <c r="J403" s="342"/>
    </row>
    <row r="404" spans="1:18" s="334" customFormat="1" ht="17.100000000000001" customHeight="1" x14ac:dyDescent="0.25">
      <c r="A404" s="1230"/>
      <c r="B404" s="1230"/>
      <c r="C404" s="1230"/>
      <c r="D404" s="835" t="s">
        <v>78</v>
      </c>
      <c r="E404" s="836" t="s">
        <v>79</v>
      </c>
      <c r="F404" s="836" t="s">
        <v>80</v>
      </c>
      <c r="G404" s="836" t="s">
        <v>80</v>
      </c>
      <c r="H404" s="69" t="s">
        <v>13</v>
      </c>
      <c r="I404" s="523"/>
      <c r="J404" s="342"/>
      <c r="L404" s="334" t="s">
        <v>604</v>
      </c>
      <c r="M404" s="334">
        <f>'Office Minor'!C464</f>
        <v>78</v>
      </c>
      <c r="N404" s="334">
        <f>'Office Minor'!D464</f>
        <v>78.599999999999994</v>
      </c>
      <c r="O404" s="334">
        <f>'Office Minor'!E464</f>
        <v>2057420</v>
      </c>
      <c r="P404" s="334">
        <f>'Office Minor'!F464</f>
        <v>432058300</v>
      </c>
      <c r="Q404" s="334">
        <f>'Office Minor'!G464</f>
        <v>195302894</v>
      </c>
      <c r="R404" s="334">
        <f>'Office Minor'!H464</f>
        <v>234</v>
      </c>
    </row>
    <row r="405" spans="1:18" s="334" customFormat="1" ht="17.100000000000001" customHeight="1" x14ac:dyDescent="0.25">
      <c r="A405" s="891">
        <v>1</v>
      </c>
      <c r="B405" s="320" t="s">
        <v>60</v>
      </c>
      <c r="C405" s="321">
        <f>'Office Minor'!C512+'Office Minor'!C315</f>
        <v>206</v>
      </c>
      <c r="D405" s="321">
        <f>'Office Minor'!D512+'Office Minor'!D315</f>
        <v>6245.01</v>
      </c>
      <c r="E405" s="321">
        <f>'Office Minor'!E512+'Office Minor'!E315</f>
        <v>8224122</v>
      </c>
      <c r="F405" s="321">
        <f>'Office Minor'!F512+'Office Minor'!F315</f>
        <v>3035993668</v>
      </c>
      <c r="G405" s="321">
        <f>'Office Minor'!G512+'Office Minor'!G315</f>
        <v>953349813</v>
      </c>
      <c r="H405" s="321">
        <f>'Office Minor'!H512+'Office Minor'!H315</f>
        <v>1185</v>
      </c>
      <c r="I405" s="523"/>
      <c r="J405" s="342">
        <f>F405/E405</f>
        <v>369.15717787260451</v>
      </c>
      <c r="L405" s="334" t="s">
        <v>603</v>
      </c>
      <c r="M405" s="334">
        <f>N157+L174</f>
        <v>0</v>
      </c>
      <c r="N405" s="334">
        <f t="shared" ref="N405:R405" si="89">O157+M174</f>
        <v>0</v>
      </c>
      <c r="O405" s="334">
        <f t="shared" si="89"/>
        <v>0</v>
      </c>
      <c r="P405" s="334">
        <f t="shared" si="89"/>
        <v>0</v>
      </c>
      <c r="Q405" s="334">
        <f t="shared" si="89"/>
        <v>0</v>
      </c>
      <c r="R405" s="334">
        <f t="shared" si="89"/>
        <v>0</v>
      </c>
    </row>
    <row r="406" spans="1:18" s="334" customFormat="1" ht="17.100000000000001" customHeight="1" x14ac:dyDescent="0.25">
      <c r="A406" s="316">
        <v>2</v>
      </c>
      <c r="B406" s="320" t="s">
        <v>63</v>
      </c>
      <c r="C406" s="321">
        <f>'Office Minor'!C316+'Office Minor'!C513+'Office Minor'!C501</f>
        <v>614</v>
      </c>
      <c r="D406" s="321">
        <f>'Office Minor'!D316+'Office Minor'!D513+'Office Minor'!D501</f>
        <v>619.27</v>
      </c>
      <c r="E406" s="321">
        <f>'Office Minor'!E316+'Office Minor'!E513+'Office Minor'!E501</f>
        <v>7937405</v>
      </c>
      <c r="F406" s="321">
        <f>'Office Minor'!F316+'Office Minor'!F513+'Office Minor'!F501</f>
        <v>1547794133</v>
      </c>
      <c r="G406" s="321">
        <f>'Office Minor'!G316+'Office Minor'!G513+'Office Minor'!G501</f>
        <v>163276564</v>
      </c>
      <c r="H406" s="321">
        <f>'Office Minor'!H316+'Office Minor'!H513+'Office Minor'!H501</f>
        <v>1950</v>
      </c>
      <c r="I406" s="523"/>
      <c r="J406" s="342">
        <f t="shared" ref="J406:J415" si="90">F406/E406</f>
        <v>195.00001990575007</v>
      </c>
    </row>
    <row r="407" spans="1:18" s="334" customFormat="1" ht="17.100000000000001" customHeight="1" x14ac:dyDescent="0.25">
      <c r="A407" s="891">
        <v>3</v>
      </c>
      <c r="B407" s="320" t="s">
        <v>71</v>
      </c>
      <c r="C407" s="321">
        <f>'Office Minor'!C514</f>
        <v>0</v>
      </c>
      <c r="D407" s="321">
        <f>'Office Minor'!D514</f>
        <v>0</v>
      </c>
      <c r="E407" s="321">
        <f>'Office Minor'!E514</f>
        <v>417275</v>
      </c>
      <c r="F407" s="321">
        <f>'Office Minor'!F514</f>
        <v>312956340</v>
      </c>
      <c r="G407" s="321">
        <f>'Office Minor'!G514</f>
        <v>23404217</v>
      </c>
      <c r="H407" s="321">
        <f>'Office Minor'!H514</f>
        <v>350</v>
      </c>
      <c r="I407" s="523"/>
      <c r="J407" s="342">
        <f t="shared" si="90"/>
        <v>750.00021568509976</v>
      </c>
      <c r="M407" s="707">
        <f>M404-M405</f>
        <v>78</v>
      </c>
      <c r="N407" s="707">
        <f t="shared" ref="N407:R407" si="91">N404-N405</f>
        <v>78.599999999999994</v>
      </c>
      <c r="O407" s="707">
        <f t="shared" si="91"/>
        <v>2057420</v>
      </c>
      <c r="P407" s="707">
        <f t="shared" si="91"/>
        <v>432058300</v>
      </c>
      <c r="Q407" s="707">
        <f t="shared" si="91"/>
        <v>195302894</v>
      </c>
      <c r="R407" s="707">
        <f t="shared" si="91"/>
        <v>234</v>
      </c>
    </row>
    <row r="408" spans="1:18" s="334" customFormat="1" ht="17.100000000000001" customHeight="1" x14ac:dyDescent="0.25">
      <c r="A408" s="316">
        <v>4</v>
      </c>
      <c r="B408" s="320" t="s">
        <v>62</v>
      </c>
      <c r="C408" s="321">
        <f>'Office Minor'!C515+'Office Minor'!C500</f>
        <v>0</v>
      </c>
      <c r="D408" s="321">
        <f>'Office Minor'!D515+'Office Minor'!D500</f>
        <v>0</v>
      </c>
      <c r="E408" s="321">
        <f>'Office Minor'!E515+'Office Minor'!E500</f>
        <v>1163613</v>
      </c>
      <c r="F408" s="321">
        <f>'Office Minor'!F515+'Office Minor'!F500</f>
        <v>2909033725</v>
      </c>
      <c r="G408" s="321">
        <f>'Office Minor'!G515+'Office Minor'!G500</f>
        <v>410472000</v>
      </c>
      <c r="H408" s="321">
        <f>'Office Minor'!H515+'Office Minor'!H500</f>
        <v>10700</v>
      </c>
      <c r="I408" s="523"/>
      <c r="J408" s="342">
        <f t="shared" si="90"/>
        <v>2500.0010527555123</v>
      </c>
    </row>
    <row r="409" spans="1:18" s="334" customFormat="1" ht="17.100000000000001" customHeight="1" x14ac:dyDescent="0.25">
      <c r="A409" s="891">
        <v>5</v>
      </c>
      <c r="B409" s="320" t="s">
        <v>65</v>
      </c>
      <c r="C409" s="321">
        <f>'Office Minor'!C317</f>
        <v>2</v>
      </c>
      <c r="D409" s="321">
        <f>'Office Minor'!D317</f>
        <v>2</v>
      </c>
      <c r="E409" s="321">
        <f>'Office Minor'!E317</f>
        <v>0</v>
      </c>
      <c r="F409" s="321">
        <f>'Office Minor'!F317</f>
        <v>0</v>
      </c>
      <c r="G409" s="321">
        <f>'Office Minor'!G317</f>
        <v>0</v>
      </c>
      <c r="H409" s="321">
        <f>'Office Minor'!H317</f>
        <v>0</v>
      </c>
      <c r="I409" s="523"/>
      <c r="J409" s="342" t="e">
        <f t="shared" si="90"/>
        <v>#DIV/0!</v>
      </c>
    </row>
    <row r="410" spans="1:18" s="334" customFormat="1" ht="17.100000000000001" customHeight="1" x14ac:dyDescent="0.25">
      <c r="A410" s="316">
        <v>6</v>
      </c>
      <c r="B410" s="916" t="s">
        <v>31</v>
      </c>
      <c r="C410" s="321">
        <f>'Office Minor'!C516</f>
        <v>2</v>
      </c>
      <c r="D410" s="321">
        <f>'Office Minor'!D516</f>
        <v>1993.12</v>
      </c>
      <c r="E410" s="321">
        <f>'Office Minor'!E516</f>
        <v>140613</v>
      </c>
      <c r="F410" s="321">
        <f>'Office Minor'!F516</f>
        <v>105459750</v>
      </c>
      <c r="G410" s="321">
        <f>'Office Minor'!G516</f>
        <v>65129706</v>
      </c>
      <c r="H410" s="321">
        <f>'Office Minor'!H516</f>
        <v>150</v>
      </c>
      <c r="I410" s="523"/>
      <c r="J410" s="342">
        <f t="shared" si="90"/>
        <v>750</v>
      </c>
    </row>
    <row r="411" spans="1:18" s="334" customFormat="1" ht="17.100000000000001" customHeight="1" x14ac:dyDescent="0.25">
      <c r="A411" s="891">
        <v>7</v>
      </c>
      <c r="B411" s="320" t="s">
        <v>59</v>
      </c>
      <c r="C411" s="321">
        <f>'Office Minor'!C517+'Office Minor'!C319+'Office Minor'!C504</f>
        <v>3</v>
      </c>
      <c r="D411" s="321">
        <f>'Office Minor'!D517+'Office Minor'!D319+'Office Minor'!D504</f>
        <v>505.56</v>
      </c>
      <c r="E411" s="321">
        <f>'Office Minor'!E517+'Office Minor'!E319+'Office Minor'!E504</f>
        <v>358594</v>
      </c>
      <c r="F411" s="321">
        <f>'Office Minor'!F517+'Office Minor'!F319+'Office Minor'!F504</f>
        <v>283935907</v>
      </c>
      <c r="G411" s="321">
        <f>'Office Minor'!G517+'Office Minor'!G319+'Office Minor'!G504</f>
        <v>15856617</v>
      </c>
      <c r="H411" s="321">
        <f>'Office Minor'!H517+'Office Minor'!H319+'Office Minor'!H504</f>
        <v>245</v>
      </c>
      <c r="I411" s="523"/>
      <c r="J411" s="342">
        <f t="shared" si="90"/>
        <v>791.80328449444221</v>
      </c>
    </row>
    <row r="412" spans="1:18" s="334" customFormat="1" ht="17.100000000000001" customHeight="1" x14ac:dyDescent="0.25">
      <c r="A412" s="316">
        <v>8</v>
      </c>
      <c r="B412" s="916" t="s">
        <v>399</v>
      </c>
      <c r="C412" s="321">
        <f>'Office Minor'!C518+'Office Minor'!C318</f>
        <v>4</v>
      </c>
      <c r="D412" s="321">
        <f>'Office Minor'!D518+'Office Minor'!D318</f>
        <v>13.865399999999999</v>
      </c>
      <c r="E412" s="321">
        <f>'Office Minor'!E518+'Office Minor'!E318</f>
        <v>62227.520000000004</v>
      </c>
      <c r="F412" s="321">
        <f>'Office Minor'!F518+'Office Minor'!F318</f>
        <v>23024682</v>
      </c>
      <c r="G412" s="321">
        <f>'Office Minor'!G518+'Office Minor'!G318</f>
        <v>1050523</v>
      </c>
      <c r="H412" s="321">
        <f>'Office Minor'!H518+'Office Minor'!H318</f>
        <v>105</v>
      </c>
      <c r="I412" s="523"/>
      <c r="J412" s="342">
        <f t="shared" si="90"/>
        <v>370.00802860213616</v>
      </c>
    </row>
    <row r="413" spans="1:18" s="334" customFormat="1" ht="17.100000000000001" customHeight="1" x14ac:dyDescent="0.25">
      <c r="A413" s="891">
        <v>9</v>
      </c>
      <c r="B413" s="916" t="str">
        <f>'Office Minor'!B503</f>
        <v>Granite</v>
      </c>
      <c r="C413" s="916">
        <f>'Office Minor'!C503+'Office Minor'!C322</f>
        <v>24</v>
      </c>
      <c r="D413" s="916">
        <f>'Office Minor'!D503+'Office Minor'!D322</f>
        <v>38.18</v>
      </c>
      <c r="E413" s="916">
        <f>'Office Minor'!E503+'Office Minor'!E322</f>
        <v>8605</v>
      </c>
      <c r="F413" s="916">
        <f>'Office Minor'!F503+'Office Minor'!F322</f>
        <v>18071144</v>
      </c>
      <c r="G413" s="916">
        <f>'Office Minor'!G503+'Office Minor'!G322</f>
        <v>6165449</v>
      </c>
      <c r="H413" s="916">
        <f>'Office Minor'!H503+'Office Minor'!H322</f>
        <v>45</v>
      </c>
      <c r="I413" s="523"/>
      <c r="J413" s="342"/>
    </row>
    <row r="414" spans="1:18" s="334" customFormat="1" ht="17.100000000000001" customHeight="1" x14ac:dyDescent="0.25">
      <c r="A414" s="891">
        <v>10</v>
      </c>
      <c r="B414" s="916" t="s">
        <v>171</v>
      </c>
      <c r="C414" s="321">
        <f>'Office Minor'!C520+'Office Minor'!C320</f>
        <v>340</v>
      </c>
      <c r="D414" s="321">
        <f>'Office Minor'!D520+'Office Minor'!D320</f>
        <v>1146.94</v>
      </c>
      <c r="E414" s="321">
        <f>'Office Minor'!E520+'Office Minor'!E320</f>
        <v>3442586</v>
      </c>
      <c r="F414" s="321">
        <f>'Office Minor'!F520+'Office Minor'!F320</f>
        <v>1497696192</v>
      </c>
      <c r="G414" s="321">
        <f>'Office Minor'!G520+'Office Minor'!G320</f>
        <v>220184068</v>
      </c>
      <c r="H414" s="321">
        <f>'Office Minor'!H520+'Office Minor'!H320</f>
        <v>1092</v>
      </c>
      <c r="I414" s="523"/>
      <c r="J414" s="342">
        <f t="shared" si="90"/>
        <v>435.04975387688211</v>
      </c>
    </row>
    <row r="415" spans="1:18" s="334" customFormat="1" ht="17.100000000000001" customHeight="1" x14ac:dyDescent="0.25">
      <c r="A415" s="316">
        <v>11</v>
      </c>
      <c r="B415" s="317" t="s">
        <v>170</v>
      </c>
      <c r="C415" s="321">
        <f>'Office Minor'!C321+'Office Minor'!C502</f>
        <v>4</v>
      </c>
      <c r="D415" s="321">
        <f>'Office Minor'!D321+'Office Minor'!D502</f>
        <v>18.82</v>
      </c>
      <c r="E415" s="321">
        <f>'Office Minor'!E321+'Office Minor'!E502</f>
        <v>11381</v>
      </c>
      <c r="F415" s="321">
        <f>'Office Minor'!F321+'Office Minor'!F502</f>
        <v>5121472</v>
      </c>
      <c r="G415" s="321">
        <f>'Office Minor'!G321+'Office Minor'!G502</f>
        <v>1193315</v>
      </c>
      <c r="H415" s="321">
        <f>'Office Minor'!H321+'Office Minor'!H502</f>
        <v>10</v>
      </c>
      <c r="I415" s="523"/>
      <c r="J415" s="342">
        <f t="shared" si="90"/>
        <v>450.00193304630523</v>
      </c>
    </row>
    <row r="416" spans="1:18" s="334" customFormat="1" ht="17.100000000000001" customHeight="1" x14ac:dyDescent="0.25">
      <c r="A416" s="891">
        <v>12</v>
      </c>
      <c r="B416" s="320" t="s">
        <v>68</v>
      </c>
      <c r="C416" s="321">
        <f>'Office Minor'!C519</f>
        <v>1</v>
      </c>
      <c r="D416" s="321">
        <f>'Office Minor'!D519</f>
        <v>1</v>
      </c>
      <c r="E416" s="321">
        <f>'Office Minor'!E519</f>
        <v>91.41</v>
      </c>
      <c r="F416" s="321">
        <f>'Office Minor'!F519</f>
        <v>21938</v>
      </c>
      <c r="G416" s="321">
        <f>'Office Minor'!G519</f>
        <v>8227</v>
      </c>
      <c r="H416" s="321">
        <f>'Office Minor'!H519</f>
        <v>20</v>
      </c>
      <c r="I416" s="523"/>
      <c r="J416" s="342"/>
    </row>
    <row r="417" spans="1:17" s="334" customFormat="1" ht="17.100000000000001" customHeight="1" x14ac:dyDescent="0.25">
      <c r="A417" s="953">
        <v>13</v>
      </c>
      <c r="B417" s="320" t="s">
        <v>44</v>
      </c>
      <c r="C417" s="321">
        <f>'Office Minor'!C521</f>
        <v>9</v>
      </c>
      <c r="D417" s="321">
        <f>'Office Minor'!D521</f>
        <v>13.24</v>
      </c>
      <c r="E417" s="321">
        <f>'Office Minor'!E521</f>
        <v>97967</v>
      </c>
      <c r="F417" s="321">
        <f>'Office Minor'!F521</f>
        <v>52902347</v>
      </c>
      <c r="G417" s="321">
        <f>'Office Minor'!G521</f>
        <v>10044778</v>
      </c>
      <c r="H417" s="321">
        <f>'Office Minor'!H521</f>
        <v>90</v>
      </c>
      <c r="I417" s="523"/>
      <c r="J417" s="342"/>
    </row>
    <row r="418" spans="1:17" s="334" customFormat="1" ht="17.100000000000001" customHeight="1" x14ac:dyDescent="0.25">
      <c r="A418" s="852"/>
      <c r="B418" s="320" t="s">
        <v>75</v>
      </c>
      <c r="C418" s="321"/>
      <c r="D418" s="321"/>
      <c r="E418" s="321"/>
      <c r="F418" s="321"/>
      <c r="G418" s="887">
        <f>'Office Minor'!G522+'Office Minor'!G505+'Office Minor'!G323</f>
        <v>13857095</v>
      </c>
      <c r="H418" s="321"/>
      <c r="I418" s="523"/>
      <c r="J418" s="342"/>
      <c r="K418" s="334" t="s">
        <v>599</v>
      </c>
      <c r="L418" s="334">
        <f>'Office Minor'!C124</f>
        <v>56</v>
      </c>
      <c r="M418" s="334">
        <f>'Office Minor'!D124</f>
        <v>98.73</v>
      </c>
      <c r="N418" s="334">
        <f>'Office Minor'!E124</f>
        <v>78706</v>
      </c>
      <c r="O418" s="334">
        <f>'Office Minor'!F124</f>
        <v>169217900</v>
      </c>
      <c r="P418" s="334">
        <f>'Office Minor'!G124</f>
        <v>22819288</v>
      </c>
      <c r="Q418" s="334">
        <f>'Office Minor'!H124</f>
        <v>45</v>
      </c>
    </row>
    <row r="419" spans="1:17" s="334" customFormat="1" ht="17.100000000000001" customHeight="1" x14ac:dyDescent="0.25">
      <c r="A419" s="852"/>
      <c r="B419" s="320" t="s">
        <v>49</v>
      </c>
      <c r="C419" s="321"/>
      <c r="D419" s="321"/>
      <c r="E419" s="321"/>
      <c r="F419" s="321"/>
      <c r="G419" s="887">
        <f>'Office Minor'!G523+'Office Minor'!G506+'Office Minor'!G324</f>
        <v>1011938333</v>
      </c>
      <c r="H419" s="321"/>
      <c r="I419" s="523"/>
      <c r="J419" s="342"/>
    </row>
    <row r="420" spans="1:17" s="334" customFormat="1" ht="17.100000000000001" customHeight="1" x14ac:dyDescent="0.25">
      <c r="A420" s="1231" t="s">
        <v>50</v>
      </c>
      <c r="B420" s="1232"/>
      <c r="C420" s="497">
        <f t="shared" ref="C420:H420" si="92">SUM(C405:C419)</f>
        <v>1209</v>
      </c>
      <c r="D420" s="498">
        <f t="shared" si="92"/>
        <v>10597.005400000002</v>
      </c>
      <c r="E420" s="497">
        <f t="shared" si="92"/>
        <v>21864479.93</v>
      </c>
      <c r="F420" s="499">
        <f t="shared" si="92"/>
        <v>9792011298</v>
      </c>
      <c r="G420" s="499">
        <f t="shared" si="92"/>
        <v>2895930705</v>
      </c>
      <c r="H420" s="878">
        <f t="shared" si="92"/>
        <v>15942</v>
      </c>
      <c r="I420" s="523"/>
      <c r="J420" s="342"/>
    </row>
    <row r="421" spans="1:17" s="531" customFormat="1" ht="17.100000000000001" customHeight="1" x14ac:dyDescent="0.25">
      <c r="A421" s="513"/>
      <c r="B421" s="513"/>
      <c r="C421" s="513"/>
      <c r="D421" s="513"/>
      <c r="E421" s="513"/>
      <c r="F421" s="513"/>
      <c r="G421" s="513"/>
      <c r="H421" s="513"/>
      <c r="I421" s="524">
        <f>G440+Distt.Major!G143</f>
        <v>3550828935</v>
      </c>
      <c r="J421" s="342"/>
      <c r="K421" s="531" t="s">
        <v>558</v>
      </c>
      <c r="L421" s="531">
        <f>'Office Minor'!C131</f>
        <v>1</v>
      </c>
      <c r="M421" s="531">
        <f>'Office Minor'!D131</f>
        <v>4.8</v>
      </c>
      <c r="N421" s="531">
        <f>'Office Minor'!E131</f>
        <v>8173</v>
      </c>
      <c r="O421" s="531">
        <f>'Office Minor'!F131</f>
        <v>2043250</v>
      </c>
      <c r="P421" s="531">
        <f>'Office Minor'!G131</f>
        <v>367827</v>
      </c>
      <c r="Q421" s="531">
        <f>'Office Minor'!H131</f>
        <v>4</v>
      </c>
    </row>
    <row r="422" spans="1:17" s="334" customFormat="1" ht="17.100000000000001" customHeight="1" x14ac:dyDescent="0.25">
      <c r="A422" s="1264" t="s">
        <v>260</v>
      </c>
      <c r="B422" s="1264"/>
      <c r="C422" s="1264"/>
      <c r="D422" s="1264"/>
      <c r="E422" s="1264"/>
      <c r="F422" s="1264"/>
      <c r="G422" s="1264"/>
      <c r="H422" s="1264"/>
      <c r="I422" s="523"/>
      <c r="J422" s="342"/>
      <c r="K422" s="334" t="s">
        <v>556</v>
      </c>
      <c r="L422" s="334">
        <f>L17</f>
        <v>0</v>
      </c>
      <c r="M422" s="334">
        <f t="shared" ref="M422:Q422" si="93">M17</f>
        <v>0</v>
      </c>
      <c r="N422" s="334">
        <f t="shared" si="93"/>
        <v>0</v>
      </c>
      <c r="O422" s="334">
        <f t="shared" si="93"/>
        <v>0</v>
      </c>
      <c r="P422" s="334">
        <f t="shared" si="93"/>
        <v>0</v>
      </c>
      <c r="Q422" s="334">
        <f t="shared" si="93"/>
        <v>0</v>
      </c>
    </row>
    <row r="423" spans="1:17" s="334" customFormat="1" ht="17.100000000000001" customHeight="1" x14ac:dyDescent="0.25">
      <c r="A423" s="1225" t="s">
        <v>182</v>
      </c>
      <c r="B423" s="1225" t="s">
        <v>3</v>
      </c>
      <c r="C423" s="1225" t="s">
        <v>4</v>
      </c>
      <c r="D423" s="834" t="s">
        <v>5</v>
      </c>
      <c r="E423" s="68" t="s">
        <v>6</v>
      </c>
      <c r="F423" s="833" t="s">
        <v>7</v>
      </c>
      <c r="G423" s="833" t="s">
        <v>8</v>
      </c>
      <c r="H423" s="68" t="s">
        <v>9</v>
      </c>
      <c r="I423" s="523"/>
      <c r="J423" s="342"/>
    </row>
    <row r="424" spans="1:17" s="334" customFormat="1" ht="17.100000000000001" customHeight="1" x14ac:dyDescent="0.25">
      <c r="A424" s="1230"/>
      <c r="B424" s="1230"/>
      <c r="C424" s="1230"/>
      <c r="D424" s="835" t="s">
        <v>78</v>
      </c>
      <c r="E424" s="835" t="s">
        <v>79</v>
      </c>
      <c r="F424" s="836" t="s">
        <v>80</v>
      </c>
      <c r="G424" s="836" t="s">
        <v>80</v>
      </c>
      <c r="H424" s="69" t="s">
        <v>13</v>
      </c>
      <c r="I424" s="523"/>
      <c r="J424" s="342"/>
      <c r="K424" s="273"/>
    </row>
    <row r="425" spans="1:17" s="334" customFormat="1" ht="17.100000000000001" customHeight="1" x14ac:dyDescent="0.25">
      <c r="A425" s="837">
        <v>1</v>
      </c>
      <c r="B425" s="829" t="s">
        <v>60</v>
      </c>
      <c r="C425" s="829">
        <f>'Office Minor'!C747+'Office Minor'!C128</f>
        <v>50</v>
      </c>
      <c r="D425" s="829">
        <f>'Office Minor'!D747+'Office Minor'!D128</f>
        <v>2057.9100000000003</v>
      </c>
      <c r="E425" s="829">
        <f>'Office Minor'!E747+'Office Minor'!E128</f>
        <v>1841715</v>
      </c>
      <c r="F425" s="829">
        <f>'Office Minor'!F747+'Office Minor'!F128</f>
        <v>662599502</v>
      </c>
      <c r="G425" s="829">
        <f>'Office Minor'!G747+'Office Minor'!G128</f>
        <v>222883116</v>
      </c>
      <c r="H425" s="829">
        <f>'Office Minor'!H747+'Office Minor'!H128</f>
        <v>764</v>
      </c>
      <c r="I425" s="978" t="s">
        <v>642</v>
      </c>
      <c r="J425" s="342">
        <f>F425/E425</f>
        <v>359.7730930138485</v>
      </c>
      <c r="K425" s="334" t="s">
        <v>557</v>
      </c>
      <c r="L425" s="423">
        <v>0</v>
      </c>
      <c r="M425" s="423">
        <v>0</v>
      </c>
      <c r="N425" s="423">
        <v>0</v>
      </c>
      <c r="O425" s="423">
        <v>0</v>
      </c>
      <c r="P425" s="423">
        <v>0</v>
      </c>
      <c r="Q425" s="423">
        <v>0</v>
      </c>
    </row>
    <row r="426" spans="1:17" s="334" customFormat="1" ht="17.100000000000001" customHeight="1" x14ac:dyDescent="0.25">
      <c r="A426" s="838">
        <v>2</v>
      </c>
      <c r="B426" s="829" t="s">
        <v>62</v>
      </c>
      <c r="C426" s="829">
        <f>'Office Minor'!C748</f>
        <v>1</v>
      </c>
      <c r="D426" s="829">
        <f>'Office Minor'!D748</f>
        <v>1</v>
      </c>
      <c r="E426" s="829">
        <f>'Office Minor'!E748</f>
        <v>0</v>
      </c>
      <c r="F426" s="829">
        <f>'Office Minor'!F748</f>
        <v>0</v>
      </c>
      <c r="G426" s="829">
        <f>'Office Minor'!G748</f>
        <v>0</v>
      </c>
      <c r="H426" s="829">
        <f>'Office Minor'!H748</f>
        <v>0</v>
      </c>
      <c r="I426" s="523"/>
      <c r="J426" s="342" t="e">
        <f t="shared" ref="J426:J435" si="94">F426/E426</f>
        <v>#DIV/0!</v>
      </c>
      <c r="L426" s="707">
        <f>L425</f>
        <v>0</v>
      </c>
      <c r="M426" s="707">
        <f t="shared" ref="M426:Q426" si="95">M425</f>
        <v>0</v>
      </c>
      <c r="N426" s="707">
        <f t="shared" si="95"/>
        <v>0</v>
      </c>
      <c r="O426" s="707">
        <f t="shared" si="95"/>
        <v>0</v>
      </c>
      <c r="P426" s="707">
        <f t="shared" si="95"/>
        <v>0</v>
      </c>
      <c r="Q426" s="707">
        <f t="shared" si="95"/>
        <v>0</v>
      </c>
    </row>
    <row r="427" spans="1:17" s="334" customFormat="1" ht="17.100000000000001" customHeight="1" x14ac:dyDescent="0.25">
      <c r="A427" s="837">
        <v>3</v>
      </c>
      <c r="B427" s="829" t="s">
        <v>69</v>
      </c>
      <c r="C427" s="829">
        <f>'Office Minor'!C749</f>
        <v>7</v>
      </c>
      <c r="D427" s="829">
        <f>'Office Minor'!D749</f>
        <v>12.24</v>
      </c>
      <c r="E427" s="829">
        <f>'Office Minor'!E749</f>
        <v>49040</v>
      </c>
      <c r="F427" s="829">
        <f>'Office Minor'!F749</f>
        <v>6865480</v>
      </c>
      <c r="G427" s="829">
        <f>'Office Minor'!G749</f>
        <v>2242200</v>
      </c>
      <c r="H427" s="829">
        <f>'Office Minor'!H749</f>
        <v>30</v>
      </c>
      <c r="I427" s="523"/>
      <c r="J427" s="342">
        <f t="shared" si="94"/>
        <v>139.99755301794454</v>
      </c>
      <c r="K427" s="63" t="s">
        <v>553</v>
      </c>
      <c r="L427" s="423">
        <f>'Office Minor'!C124-L14</f>
        <v>56</v>
      </c>
      <c r="M427" s="423">
        <f>'Office Minor'!D124-M14</f>
        <v>98.73</v>
      </c>
      <c r="N427" s="423">
        <f>'Office Minor'!E124-N14</f>
        <v>78706</v>
      </c>
      <c r="O427" s="423">
        <f>'Office Minor'!F124-O14</f>
        <v>169217900</v>
      </c>
      <c r="P427" s="423">
        <f>'Office Minor'!G124-P14</f>
        <v>22819288</v>
      </c>
      <c r="Q427" s="423">
        <f>'Office Minor'!H124-Q14</f>
        <v>45</v>
      </c>
    </row>
    <row r="428" spans="1:17" s="334" customFormat="1" ht="17.100000000000001" customHeight="1" x14ac:dyDescent="0.25">
      <c r="A428" s="838">
        <v>4</v>
      </c>
      <c r="B428" s="829" t="s">
        <v>58</v>
      </c>
      <c r="C428" s="829">
        <f>'Office Minor'!C750</f>
        <v>277</v>
      </c>
      <c r="D428" s="829">
        <f>'Office Minor'!D750</f>
        <v>605.97</v>
      </c>
      <c r="E428" s="829">
        <f>'Office Minor'!E750</f>
        <v>1554441</v>
      </c>
      <c r="F428" s="829">
        <f>'Office Minor'!F750</f>
        <v>3342049440</v>
      </c>
      <c r="G428" s="829">
        <f>'Office Minor'!G750</f>
        <v>452605574</v>
      </c>
      <c r="H428" s="829">
        <f>'Office Minor'!H750</f>
        <v>830</v>
      </c>
      <c r="I428" s="523"/>
      <c r="J428" s="342">
        <f t="shared" si="94"/>
        <v>2150.0008298803236</v>
      </c>
      <c r="K428" s="334" t="s">
        <v>554</v>
      </c>
      <c r="L428" s="334">
        <f>'Office Minor'!C750</f>
        <v>277</v>
      </c>
      <c r="M428" s="334">
        <f>'Office Minor'!D750</f>
        <v>605.97</v>
      </c>
      <c r="N428" s="334">
        <f>'Office Minor'!E750</f>
        <v>1554441</v>
      </c>
      <c r="O428" s="334">
        <f>'Office Minor'!F750</f>
        <v>3342049440</v>
      </c>
      <c r="P428" s="334">
        <f>'Office Minor'!G750</f>
        <v>452605574</v>
      </c>
      <c r="Q428" s="334">
        <f>'Office Minor'!H750</f>
        <v>830</v>
      </c>
    </row>
    <row r="429" spans="1:17" s="334" customFormat="1" ht="17.100000000000001" customHeight="1" x14ac:dyDescent="0.25">
      <c r="A429" s="837">
        <v>5</v>
      </c>
      <c r="B429" s="829" t="s">
        <v>63</v>
      </c>
      <c r="C429" s="839">
        <f>'Office Minor'!C751</f>
        <v>202</v>
      </c>
      <c r="D429" s="839">
        <f>'Office Minor'!D751</f>
        <v>222.74</v>
      </c>
      <c r="E429" s="839">
        <f>'Office Minor'!E751</f>
        <v>2098402</v>
      </c>
      <c r="F429" s="839">
        <f>'Office Minor'!F751</f>
        <v>440664525</v>
      </c>
      <c r="G429" s="839">
        <f>'Office Minor'!G751</f>
        <v>62226532</v>
      </c>
      <c r="H429" s="839">
        <f>'Office Minor'!H751</f>
        <v>2200</v>
      </c>
      <c r="I429" s="523"/>
      <c r="J429" s="342">
        <f t="shared" si="94"/>
        <v>210.00005003807658</v>
      </c>
      <c r="L429" s="368">
        <f>L427+L428</f>
        <v>333</v>
      </c>
      <c r="M429" s="368">
        <f t="shared" ref="M429:Q429" si="96">M427+M428</f>
        <v>704.7</v>
      </c>
      <c r="N429" s="368">
        <f t="shared" si="96"/>
        <v>1633147</v>
      </c>
      <c r="O429" s="368">
        <f t="shared" si="96"/>
        <v>3511267340</v>
      </c>
      <c r="P429" s="368">
        <f t="shared" si="96"/>
        <v>475424862</v>
      </c>
      <c r="Q429" s="368">
        <f t="shared" si="96"/>
        <v>875</v>
      </c>
    </row>
    <row r="430" spans="1:17" s="334" customFormat="1" ht="17.100000000000001" customHeight="1" x14ac:dyDescent="0.25">
      <c r="A430" s="838">
        <v>6</v>
      </c>
      <c r="B430" s="829" t="s">
        <v>65</v>
      </c>
      <c r="C430" s="829">
        <f>'Office Minor'!C756</f>
        <v>0</v>
      </c>
      <c r="D430" s="829">
        <f>'Office Minor'!D756</f>
        <v>0</v>
      </c>
      <c r="E430" s="829">
        <f>'Office Minor'!E756</f>
        <v>3540398</v>
      </c>
      <c r="F430" s="829">
        <f>'Office Minor'!F756</f>
        <v>99131125</v>
      </c>
      <c r="G430" s="829">
        <f>'Office Minor'!G756</f>
        <v>5289510</v>
      </c>
      <c r="H430" s="829">
        <f>'Office Minor'!H756</f>
        <v>250</v>
      </c>
      <c r="I430" s="523"/>
      <c r="J430" s="342">
        <f t="shared" si="94"/>
        <v>27.999994633371728</v>
      </c>
      <c r="K430" s="63" t="s">
        <v>508</v>
      </c>
      <c r="L430" s="342">
        <f>'Office Minor'!C751</f>
        <v>202</v>
      </c>
      <c r="M430" s="342">
        <f>'Office Minor'!D751</f>
        <v>222.74</v>
      </c>
      <c r="N430" s="342">
        <f>'Office Minor'!E751</f>
        <v>2098402</v>
      </c>
      <c r="O430" s="342">
        <f>'Office Minor'!F751</f>
        <v>440664525</v>
      </c>
      <c r="P430" s="342">
        <f>'Office Minor'!G751</f>
        <v>62226532</v>
      </c>
      <c r="Q430" s="342">
        <f>'Office Minor'!H751</f>
        <v>2200</v>
      </c>
    </row>
    <row r="431" spans="1:17" s="334" customFormat="1" ht="17.100000000000001" customHeight="1" x14ac:dyDescent="0.25">
      <c r="A431" s="837">
        <v>7</v>
      </c>
      <c r="B431" s="829" t="s">
        <v>59</v>
      </c>
      <c r="C431" s="829">
        <f>'Office Minor'!C752</f>
        <v>5</v>
      </c>
      <c r="D431" s="829">
        <f>'Office Minor'!D752</f>
        <v>19484</v>
      </c>
      <c r="E431" s="829">
        <f>'Office Minor'!E752</f>
        <v>1278423</v>
      </c>
      <c r="F431" s="829">
        <f>'Office Minor'!F752</f>
        <v>703133029</v>
      </c>
      <c r="G431" s="829">
        <f>'Office Minor'!G752</f>
        <v>94893323</v>
      </c>
      <c r="H431" s="829">
        <f>'Office Minor'!H752</f>
        <v>150</v>
      </c>
      <c r="I431" s="523"/>
      <c r="J431" s="342">
        <f t="shared" si="94"/>
        <v>550.00029645899679</v>
      </c>
      <c r="K431" s="63" t="s">
        <v>555</v>
      </c>
      <c r="L431" s="334">
        <f>K6</f>
        <v>81</v>
      </c>
      <c r="M431" s="334">
        <f t="shared" ref="M431:Q431" si="97">L6</f>
        <v>85.18</v>
      </c>
      <c r="N431" s="334">
        <f t="shared" si="97"/>
        <v>761261</v>
      </c>
      <c r="O431" s="334">
        <f t="shared" si="97"/>
        <v>159864810</v>
      </c>
      <c r="P431" s="334">
        <f t="shared" si="97"/>
        <v>26644149</v>
      </c>
      <c r="Q431" s="334">
        <f t="shared" si="97"/>
        <v>144</v>
      </c>
    </row>
    <row r="432" spans="1:17" s="334" customFormat="1" ht="17.100000000000001" customHeight="1" x14ac:dyDescent="0.25">
      <c r="A432" s="838">
        <v>8</v>
      </c>
      <c r="B432" s="829" t="s">
        <v>67</v>
      </c>
      <c r="C432" s="829">
        <f>'Office Minor'!C753+'Office Minor'!C127</f>
        <v>0</v>
      </c>
      <c r="D432" s="829">
        <f>'Office Minor'!D753+'Office Minor'!D127</f>
        <v>0</v>
      </c>
      <c r="E432" s="829">
        <f>'Office Minor'!E753+'Office Minor'!E127</f>
        <v>122800</v>
      </c>
      <c r="F432" s="829">
        <f>'Office Minor'!F753+'Office Minor'!F127</f>
        <v>84609200</v>
      </c>
      <c r="G432" s="829">
        <f>'Office Minor'!G753+'Office Minor'!G127</f>
        <v>4320065</v>
      </c>
      <c r="H432" s="829">
        <f>'Office Minor'!H753+'Office Minor'!H127</f>
        <v>104</v>
      </c>
      <c r="I432" s="523"/>
      <c r="J432" s="342">
        <f>F432/E432</f>
        <v>689</v>
      </c>
      <c r="L432" s="379">
        <f>L430+L431</f>
        <v>283</v>
      </c>
      <c r="M432" s="379">
        <f t="shared" ref="M432:Q432" si="98">M430+M431</f>
        <v>307.92</v>
      </c>
      <c r="N432" s="379">
        <f t="shared" si="98"/>
        <v>2859663</v>
      </c>
      <c r="O432" s="379">
        <f t="shared" si="98"/>
        <v>600529335</v>
      </c>
      <c r="P432" s="379">
        <f t="shared" si="98"/>
        <v>88870681</v>
      </c>
      <c r="Q432" s="379">
        <f t="shared" si="98"/>
        <v>2344</v>
      </c>
    </row>
    <row r="433" spans="1:17" s="334" customFormat="1" ht="17.100000000000001" customHeight="1" x14ac:dyDescent="0.25">
      <c r="A433" s="837">
        <v>9</v>
      </c>
      <c r="B433" s="830" t="s">
        <v>26</v>
      </c>
      <c r="C433" s="829">
        <f>'Office Minor'!C754</f>
        <v>39</v>
      </c>
      <c r="D433" s="829">
        <f>'Office Minor'!D754</f>
        <v>750.66</v>
      </c>
      <c r="E433" s="829">
        <f>'Office Minor'!E754</f>
        <v>757459</v>
      </c>
      <c r="F433" s="829">
        <f>'Office Minor'!F754</f>
        <v>340856730</v>
      </c>
      <c r="G433" s="829">
        <f>'Office Minor'!G754</f>
        <v>36232216</v>
      </c>
      <c r="H433" s="829">
        <f>'Office Minor'!H754</f>
        <v>180</v>
      </c>
      <c r="I433" s="523"/>
      <c r="J433" s="342">
        <f t="shared" si="94"/>
        <v>450.00023763662455</v>
      </c>
      <c r="K433" s="334" t="s">
        <v>509</v>
      </c>
      <c r="L433" s="334">
        <f>'Office Minor'!C756</f>
        <v>0</v>
      </c>
      <c r="M433" s="334">
        <f>'Office Minor'!D756</f>
        <v>0</v>
      </c>
      <c r="N433" s="334">
        <f>'Office Minor'!E756</f>
        <v>3540398</v>
      </c>
      <c r="O433" s="334">
        <f>'Office Minor'!F756</f>
        <v>99131125</v>
      </c>
      <c r="P433" s="334">
        <f>'Office Minor'!G756</f>
        <v>5289510</v>
      </c>
      <c r="Q433" s="334">
        <f>'Office Minor'!H756</f>
        <v>250</v>
      </c>
    </row>
    <row r="434" spans="1:17" s="334" customFormat="1" ht="17.100000000000001" customHeight="1" x14ac:dyDescent="0.25">
      <c r="A434" s="838">
        <v>10</v>
      </c>
      <c r="B434" s="830" t="s">
        <v>41</v>
      </c>
      <c r="C434" s="829">
        <v>0</v>
      </c>
      <c r="D434" s="829">
        <v>0</v>
      </c>
      <c r="E434" s="829">
        <v>0</v>
      </c>
      <c r="F434" s="829">
        <v>0</v>
      </c>
      <c r="G434" s="829">
        <v>0</v>
      </c>
      <c r="H434" s="829">
        <v>0</v>
      </c>
      <c r="I434" s="523"/>
      <c r="J434" s="342" t="e">
        <f t="shared" si="94"/>
        <v>#DIV/0!</v>
      </c>
      <c r="K434" s="334" t="s">
        <v>517</v>
      </c>
      <c r="L434" s="334">
        <f>L24-L21</f>
        <v>0</v>
      </c>
      <c r="M434" s="334">
        <f t="shared" ref="M434:Q434" si="99">M24-M21</f>
        <v>0</v>
      </c>
      <c r="N434" s="334">
        <f t="shared" si="99"/>
        <v>545358</v>
      </c>
      <c r="O434" s="334">
        <f t="shared" si="99"/>
        <v>13633950</v>
      </c>
      <c r="P434" s="334">
        <f t="shared" si="99"/>
        <v>1022469</v>
      </c>
      <c r="Q434" s="334">
        <f t="shared" si="99"/>
        <v>4</v>
      </c>
    </row>
    <row r="435" spans="1:17" s="334" customFormat="1" ht="17.100000000000001" customHeight="1" x14ac:dyDescent="0.25">
      <c r="A435" s="837">
        <v>11</v>
      </c>
      <c r="B435" s="832" t="s">
        <v>170</v>
      </c>
      <c r="C435" s="829">
        <f>'Office Minor'!C755</f>
        <v>15</v>
      </c>
      <c r="D435" s="829">
        <f>'Office Minor'!D755</f>
        <v>125.8</v>
      </c>
      <c r="E435" s="829">
        <f>'Office Minor'!E755</f>
        <v>123415</v>
      </c>
      <c r="F435" s="829">
        <f>'Office Minor'!F755</f>
        <v>55536840</v>
      </c>
      <c r="G435" s="829">
        <f>'Office Minor'!G755</f>
        <v>28920270</v>
      </c>
      <c r="H435" s="829">
        <f>'Office Minor'!H755</f>
        <v>60</v>
      </c>
      <c r="I435" s="523"/>
      <c r="J435" s="342">
        <f t="shared" si="94"/>
        <v>450.00072924685009</v>
      </c>
      <c r="K435" s="531"/>
      <c r="L435" s="529">
        <f>L433+L434</f>
        <v>0</v>
      </c>
      <c r="M435" s="529">
        <f t="shared" ref="M435:Q435" si="100">M433+M434</f>
        <v>0</v>
      </c>
      <c r="N435" s="529">
        <f t="shared" si="100"/>
        <v>4085756</v>
      </c>
      <c r="O435" s="529">
        <f t="shared" si="100"/>
        <v>112765075</v>
      </c>
      <c r="P435" s="529">
        <f t="shared" si="100"/>
        <v>6311979</v>
      </c>
      <c r="Q435" s="529">
        <f t="shared" si="100"/>
        <v>254</v>
      </c>
    </row>
    <row r="436" spans="1:17" s="334" customFormat="1" ht="17.100000000000001" customHeight="1" x14ac:dyDescent="0.25">
      <c r="A436" s="838">
        <v>12</v>
      </c>
      <c r="B436" s="832" t="str">
        <f>'Office Minor'!B757</f>
        <v>Murram</v>
      </c>
      <c r="C436" s="832">
        <f>'Office Minor'!C757</f>
        <v>0</v>
      </c>
      <c r="D436" s="832">
        <f>'Office Minor'!D757</f>
        <v>0</v>
      </c>
      <c r="E436" s="832">
        <f>'Office Minor'!E757</f>
        <v>0</v>
      </c>
      <c r="F436" s="832">
        <f>'Office Minor'!F757</f>
        <v>0</v>
      </c>
      <c r="G436" s="832">
        <f>'Office Minor'!G757</f>
        <v>0</v>
      </c>
      <c r="H436" s="832">
        <f>'Office Minor'!H757</f>
        <v>0</v>
      </c>
      <c r="I436" s="523"/>
      <c r="J436" s="342"/>
      <c r="K436" s="531"/>
      <c r="L436" s="529"/>
      <c r="M436" s="529"/>
      <c r="N436" s="529"/>
      <c r="O436" s="529"/>
      <c r="P436" s="529"/>
      <c r="Q436" s="529"/>
    </row>
    <row r="437" spans="1:17" s="334" customFormat="1" ht="17.100000000000001" customHeight="1" x14ac:dyDescent="0.25">
      <c r="A437" s="838">
        <v>13</v>
      </c>
      <c r="B437" s="832" t="s">
        <v>31</v>
      </c>
      <c r="C437" s="832">
        <f>'Office Minor'!C758</f>
        <v>0</v>
      </c>
      <c r="D437" s="832">
        <f>'Office Minor'!D758</f>
        <v>0</v>
      </c>
      <c r="E437" s="832">
        <f>'Office Minor'!E758</f>
        <v>35368</v>
      </c>
      <c r="F437" s="832">
        <f>'Office Minor'!F758</f>
        <v>26526000</v>
      </c>
      <c r="G437" s="832">
        <f>'Office Minor'!G758</f>
        <v>9969001</v>
      </c>
      <c r="H437" s="832">
        <f>'Office Minor'!H758</f>
        <v>150</v>
      </c>
      <c r="I437" s="523"/>
      <c r="J437" s="342"/>
      <c r="K437" s="531"/>
      <c r="L437" s="529"/>
      <c r="M437" s="529"/>
      <c r="N437" s="529"/>
      <c r="O437" s="529"/>
      <c r="P437" s="529"/>
      <c r="Q437" s="529"/>
    </row>
    <row r="438" spans="1:17" s="334" customFormat="1" ht="17.100000000000001" customHeight="1" x14ac:dyDescent="0.25">
      <c r="A438" s="829"/>
      <c r="B438" s="829" t="s">
        <v>75</v>
      </c>
      <c r="C438" s="829">
        <f>'Office Minor'!C759</f>
        <v>0</v>
      </c>
      <c r="D438" s="829">
        <f>'Office Minor'!D759</f>
        <v>0</v>
      </c>
      <c r="E438" s="829">
        <f>'Office Minor'!E759</f>
        <v>0</v>
      </c>
      <c r="F438" s="829">
        <f>'Office Minor'!F759</f>
        <v>0</v>
      </c>
      <c r="G438" s="829">
        <f>'Office Minor'!G759</f>
        <v>18725636</v>
      </c>
      <c r="H438" s="829">
        <f>'Office Minor'!H759</f>
        <v>0</v>
      </c>
      <c r="I438" s="523"/>
      <c r="J438" s="342"/>
      <c r="K438" s="342"/>
      <c r="L438" s="342"/>
      <c r="M438" s="342"/>
      <c r="N438" s="342"/>
      <c r="O438" s="342"/>
    </row>
    <row r="439" spans="1:17" s="334" customFormat="1" ht="17.100000000000001" customHeight="1" x14ac:dyDescent="0.25">
      <c r="A439" s="829"/>
      <c r="B439" s="829" t="s">
        <v>49</v>
      </c>
      <c r="C439" s="829">
        <f>'Office Minor'!C760</f>
        <v>0</v>
      </c>
      <c r="D439" s="829">
        <f>'Office Minor'!D760</f>
        <v>0</v>
      </c>
      <c r="E439" s="829">
        <f>'Office Minor'!E760</f>
        <v>0</v>
      </c>
      <c r="F439" s="829">
        <f>'Office Minor'!F760</f>
        <v>0</v>
      </c>
      <c r="G439" s="839">
        <f>'Office Minor'!G760</f>
        <v>477721172</v>
      </c>
      <c r="H439" s="829">
        <f>'Office Minor'!H760</f>
        <v>0</v>
      </c>
      <c r="I439" s="523"/>
      <c r="J439" s="342"/>
    </row>
    <row r="440" spans="1:17" s="334" customFormat="1" ht="17.100000000000001" customHeight="1" thickBot="1" x14ac:dyDescent="0.3">
      <c r="A440" s="1231" t="s">
        <v>50</v>
      </c>
      <c r="B440" s="1232"/>
      <c r="C440" s="68">
        <f t="shared" ref="C440:H440" si="101">SUM(C425:C439)</f>
        <v>596</v>
      </c>
      <c r="D440" s="68">
        <f t="shared" si="101"/>
        <v>23260.32</v>
      </c>
      <c r="E440" s="834">
        <f t="shared" si="101"/>
        <v>11401461</v>
      </c>
      <c r="F440" s="68">
        <f t="shared" si="101"/>
        <v>5761971871</v>
      </c>
      <c r="G440" s="68">
        <f t="shared" si="101"/>
        <v>1416028615</v>
      </c>
      <c r="H440" s="68">
        <f t="shared" si="101"/>
        <v>4718</v>
      </c>
      <c r="I440" s="524">
        <f>G440+Distt.Major!G143</f>
        <v>3550828935</v>
      </c>
      <c r="J440" s="342"/>
    </row>
    <row r="441" spans="1:17" s="531" customFormat="1" ht="20.25" customHeight="1" thickBot="1" x14ac:dyDescent="0.3">
      <c r="A441" s="237"/>
      <c r="B441" s="237"/>
      <c r="C441" s="973"/>
      <c r="D441" s="1289" t="s">
        <v>641</v>
      </c>
      <c r="E441" s="1289"/>
      <c r="F441" s="1290"/>
      <c r="G441" s="237"/>
      <c r="H441" s="237"/>
      <c r="I441" s="533"/>
      <c r="J441" s="342"/>
      <c r="L441" s="529"/>
      <c r="M441" s="529"/>
      <c r="N441" s="529"/>
      <c r="O441" s="529"/>
      <c r="P441" s="529"/>
      <c r="Q441" s="529"/>
    </row>
    <row r="442" spans="1:17" s="334" customFormat="1" ht="17.100000000000001" customHeight="1" x14ac:dyDescent="0.25">
      <c r="A442" s="1263" t="s">
        <v>261</v>
      </c>
      <c r="B442" s="1263"/>
      <c r="C442" s="1263"/>
      <c r="D442" s="1263"/>
      <c r="E442" s="1263"/>
      <c r="F442" s="1263"/>
      <c r="G442" s="1263"/>
      <c r="H442" s="1263"/>
      <c r="I442" s="523"/>
      <c r="J442" s="342"/>
    </row>
    <row r="443" spans="1:17" s="334" customFormat="1" ht="17.100000000000001" customHeight="1" x14ac:dyDescent="0.25">
      <c r="A443" s="1225" t="s">
        <v>182</v>
      </c>
      <c r="B443" s="1225" t="s">
        <v>3</v>
      </c>
      <c r="C443" s="1225" t="s">
        <v>4</v>
      </c>
      <c r="D443" s="834" t="s">
        <v>5</v>
      </c>
      <c r="E443" s="68" t="s">
        <v>6</v>
      </c>
      <c r="F443" s="833" t="s">
        <v>7</v>
      </c>
      <c r="G443" s="833" t="s">
        <v>8</v>
      </c>
      <c r="H443" s="68" t="s">
        <v>9</v>
      </c>
      <c r="I443" s="523"/>
      <c r="J443" s="342"/>
    </row>
    <row r="444" spans="1:17" s="334" customFormat="1" ht="17.100000000000001" customHeight="1" x14ac:dyDescent="0.25">
      <c r="A444" s="1230"/>
      <c r="B444" s="1230"/>
      <c r="C444" s="1230"/>
      <c r="D444" s="835" t="s">
        <v>78</v>
      </c>
      <c r="E444" s="835" t="s">
        <v>79</v>
      </c>
      <c r="F444" s="836" t="s">
        <v>80</v>
      </c>
      <c r="G444" s="836" t="s">
        <v>80</v>
      </c>
      <c r="H444" s="69" t="s">
        <v>13</v>
      </c>
      <c r="I444" s="523"/>
      <c r="J444" s="342"/>
    </row>
    <row r="445" spans="1:17" s="334" customFormat="1" ht="17.100000000000001" customHeight="1" x14ac:dyDescent="0.25">
      <c r="A445" s="891">
        <v>1</v>
      </c>
      <c r="B445" s="320" t="s">
        <v>62</v>
      </c>
      <c r="C445" s="320">
        <f>'Office Minor'!C565</f>
        <v>17</v>
      </c>
      <c r="D445" s="320">
        <f>'Office Minor'!D565</f>
        <v>33</v>
      </c>
      <c r="E445" s="320">
        <f>'Office Minor'!E565</f>
        <v>387385</v>
      </c>
      <c r="F445" s="320">
        <f>'Office Minor'!F565</f>
        <v>716662250</v>
      </c>
      <c r="G445" s="320">
        <f>'Office Minor'!G565</f>
        <v>81350850</v>
      </c>
      <c r="H445" s="320">
        <f>'Office Minor'!H565</f>
        <v>350</v>
      </c>
      <c r="I445" s="523"/>
      <c r="J445" s="342">
        <f>F445/E445</f>
        <v>1850</v>
      </c>
    </row>
    <row r="446" spans="1:17" s="334" customFormat="1" ht="17.100000000000001" customHeight="1" x14ac:dyDescent="0.25">
      <c r="A446" s="316">
        <v>2</v>
      </c>
      <c r="B446" s="320" t="s">
        <v>60</v>
      </c>
      <c r="C446" s="320">
        <f>'Office Minor'!C566</f>
        <v>7</v>
      </c>
      <c r="D446" s="320">
        <f>'Office Minor'!D566</f>
        <v>6.48</v>
      </c>
      <c r="E446" s="320">
        <f>'Office Minor'!E566</f>
        <v>40.94</v>
      </c>
      <c r="F446" s="320">
        <f>'Office Minor'!F566</f>
        <v>14329</v>
      </c>
      <c r="G446" s="320">
        <f>'Office Minor'!G566</f>
        <v>4012.12</v>
      </c>
      <c r="H446" s="320">
        <f>'Office Minor'!H566</f>
        <v>10</v>
      </c>
      <c r="I446" s="523"/>
      <c r="J446" s="342">
        <f t="shared" ref="J446:J456" si="102">F446/E446</f>
        <v>350</v>
      </c>
    </row>
    <row r="447" spans="1:17" s="334" customFormat="1" ht="17.100000000000001" customHeight="1" x14ac:dyDescent="0.25">
      <c r="A447" s="891">
        <v>3</v>
      </c>
      <c r="B447" s="320" t="s">
        <v>63</v>
      </c>
      <c r="C447" s="320">
        <f>'Office Minor'!C567</f>
        <v>29</v>
      </c>
      <c r="D447" s="320">
        <f>'Office Minor'!D567</f>
        <v>35.19</v>
      </c>
      <c r="E447" s="320">
        <f>'Office Minor'!E567</f>
        <v>601146</v>
      </c>
      <c r="F447" s="320">
        <f>'Office Minor'!F567</f>
        <v>123234930</v>
      </c>
      <c r="G447" s="320">
        <f>'Office Minor'!G567</f>
        <v>19837818</v>
      </c>
      <c r="H447" s="320">
        <f>'Office Minor'!H567</f>
        <v>350</v>
      </c>
      <c r="I447" s="523"/>
      <c r="J447" s="342">
        <f t="shared" si="102"/>
        <v>205</v>
      </c>
    </row>
    <row r="448" spans="1:17" s="334" customFormat="1" ht="17.100000000000001" customHeight="1" x14ac:dyDescent="0.25">
      <c r="A448" s="316">
        <v>4</v>
      </c>
      <c r="B448" s="885" t="s">
        <v>67</v>
      </c>
      <c r="C448" s="320">
        <f>'Office Minor'!C568</f>
        <v>2</v>
      </c>
      <c r="D448" s="320">
        <f>'Office Minor'!D568</f>
        <v>40.5</v>
      </c>
      <c r="E448" s="320">
        <f>'Office Minor'!E568</f>
        <v>2308</v>
      </c>
      <c r="F448" s="320">
        <f>'Office Minor'!F568</f>
        <v>1615600</v>
      </c>
      <c r="G448" s="320">
        <f>'Office Minor'!G568</f>
        <v>120016</v>
      </c>
      <c r="H448" s="320">
        <f>'Office Minor'!H568</f>
        <v>10</v>
      </c>
      <c r="I448" s="523"/>
      <c r="J448" s="342">
        <f t="shared" si="102"/>
        <v>700</v>
      </c>
    </row>
    <row r="449" spans="1:10" s="334" customFormat="1" ht="17.100000000000001" customHeight="1" x14ac:dyDescent="0.25">
      <c r="A449" s="891">
        <v>5</v>
      </c>
      <c r="B449" s="320" t="s">
        <v>59</v>
      </c>
      <c r="C449" s="320">
        <f>'Office Minor'!C569</f>
        <v>0</v>
      </c>
      <c r="D449" s="320">
        <f>'Office Minor'!D569</f>
        <v>0</v>
      </c>
      <c r="E449" s="320">
        <f>'Office Minor'!E569</f>
        <v>0</v>
      </c>
      <c r="F449" s="320">
        <f>'Office Minor'!F569</f>
        <v>0</v>
      </c>
      <c r="G449" s="320">
        <f>'Office Minor'!G569</f>
        <v>0</v>
      </c>
      <c r="H449" s="320">
        <f>'Office Minor'!H569</f>
        <v>0</v>
      </c>
      <c r="I449" s="523"/>
      <c r="J449" s="342" t="e">
        <f t="shared" si="102"/>
        <v>#DIV/0!</v>
      </c>
    </row>
    <row r="450" spans="1:10" s="334" customFormat="1" ht="17.100000000000001" customHeight="1" x14ac:dyDescent="0.25">
      <c r="A450" s="316">
        <v>6</v>
      </c>
      <c r="B450" s="320" t="str">
        <f>'Office Minor'!B570</f>
        <v>Dolomite</v>
      </c>
      <c r="C450" s="320">
        <f>'Office Minor'!C570</f>
        <v>0</v>
      </c>
      <c r="D450" s="320">
        <f>'Office Minor'!D570</f>
        <v>0</v>
      </c>
      <c r="E450" s="320">
        <f>'Office Minor'!E570</f>
        <v>11.06</v>
      </c>
      <c r="F450" s="320">
        <f>'Office Minor'!F570</f>
        <v>19908</v>
      </c>
      <c r="G450" s="320">
        <f>'Office Minor'!G570</f>
        <v>2798.1800000000003</v>
      </c>
      <c r="H450" s="320">
        <f>'Office Minor'!H570</f>
        <v>0</v>
      </c>
      <c r="I450" s="523"/>
      <c r="J450" s="342">
        <f t="shared" si="102"/>
        <v>1800</v>
      </c>
    </row>
    <row r="451" spans="1:10" s="334" customFormat="1" ht="17.100000000000001" customHeight="1" x14ac:dyDescent="0.25">
      <c r="A451" s="891">
        <v>7</v>
      </c>
      <c r="B451" s="320" t="s">
        <v>65</v>
      </c>
      <c r="C451" s="320">
        <f>'Office Minor'!C571</f>
        <v>0</v>
      </c>
      <c r="D451" s="320">
        <f>'Office Minor'!D571</f>
        <v>0</v>
      </c>
      <c r="E451" s="320">
        <f>'Office Minor'!E571</f>
        <v>0</v>
      </c>
      <c r="F451" s="320">
        <f>'Office Minor'!F571</f>
        <v>0</v>
      </c>
      <c r="G451" s="320">
        <f>'Office Minor'!G571</f>
        <v>0</v>
      </c>
      <c r="H451" s="320">
        <f>'Office Minor'!H571</f>
        <v>0</v>
      </c>
      <c r="I451" s="523"/>
      <c r="J451" s="342" t="e">
        <f t="shared" si="102"/>
        <v>#DIV/0!</v>
      </c>
    </row>
    <row r="452" spans="1:10" s="334" customFormat="1" ht="17.100000000000001" customHeight="1" x14ac:dyDescent="0.25">
      <c r="A452" s="316">
        <v>8</v>
      </c>
      <c r="B452" s="862" t="s">
        <v>46</v>
      </c>
      <c r="C452" s="320">
        <f>'Office Minor'!C572</f>
        <v>24</v>
      </c>
      <c r="D452" s="320">
        <f>'Office Minor'!D572</f>
        <v>1093.83</v>
      </c>
      <c r="E452" s="320">
        <f>'Office Minor'!E572</f>
        <v>110329</v>
      </c>
      <c r="F452" s="320">
        <f>'Office Minor'!F572</f>
        <v>148392505</v>
      </c>
      <c r="G452" s="320">
        <f>'Office Minor'!G572</f>
        <v>31333436</v>
      </c>
      <c r="H452" s="320">
        <f>'Office Minor'!H572</f>
        <v>200</v>
      </c>
      <c r="I452" s="523"/>
      <c r="J452" s="342">
        <f t="shared" si="102"/>
        <v>1345</v>
      </c>
    </row>
    <row r="453" spans="1:10" s="334" customFormat="1" ht="17.100000000000001" customHeight="1" x14ac:dyDescent="0.25">
      <c r="A453" s="891">
        <v>9</v>
      </c>
      <c r="B453" s="862" t="s">
        <v>164</v>
      </c>
      <c r="C453" s="320">
        <f>'Office Minor'!C573</f>
        <v>46</v>
      </c>
      <c r="D453" s="320">
        <f>'Office Minor'!D573</f>
        <v>530.66</v>
      </c>
      <c r="E453" s="320">
        <f>'Office Minor'!E573</f>
        <v>1546238</v>
      </c>
      <c r="F453" s="320">
        <f>'Office Minor'!F573</f>
        <v>397383166</v>
      </c>
      <c r="G453" s="320">
        <f>'Office Minor'!G573</f>
        <v>32470998</v>
      </c>
      <c r="H453" s="320">
        <f>'Office Minor'!H573</f>
        <v>300</v>
      </c>
      <c r="I453" s="523"/>
      <c r="J453" s="342">
        <f t="shared" si="102"/>
        <v>257</v>
      </c>
    </row>
    <row r="454" spans="1:10" s="334" customFormat="1" ht="17.100000000000001" customHeight="1" x14ac:dyDescent="0.25">
      <c r="A454" s="316">
        <v>10</v>
      </c>
      <c r="B454" s="320" t="s">
        <v>25</v>
      </c>
      <c r="C454" s="320">
        <f>'Office Minor'!C574</f>
        <v>0</v>
      </c>
      <c r="D454" s="320">
        <f>'Office Minor'!D574</f>
        <v>0</v>
      </c>
      <c r="E454" s="320">
        <f>'Office Minor'!E574</f>
        <v>0</v>
      </c>
      <c r="F454" s="320">
        <f>'Office Minor'!F574</f>
        <v>0</v>
      </c>
      <c r="G454" s="320">
        <f>'Office Minor'!G574</f>
        <v>0</v>
      </c>
      <c r="H454" s="320">
        <f>'Office Minor'!H574</f>
        <v>0</v>
      </c>
      <c r="I454" s="523"/>
      <c r="J454" s="342" t="e">
        <f t="shared" si="102"/>
        <v>#DIV/0!</v>
      </c>
    </row>
    <row r="455" spans="1:10" s="334" customFormat="1" ht="17.100000000000001" customHeight="1" x14ac:dyDescent="0.25">
      <c r="A455" s="891">
        <v>11</v>
      </c>
      <c r="B455" s="862" t="s">
        <v>170</v>
      </c>
      <c r="C455" s="320">
        <f>'Office Minor'!C575</f>
        <v>0</v>
      </c>
      <c r="D455" s="320">
        <f>'Office Minor'!D575</f>
        <v>0</v>
      </c>
      <c r="E455" s="320">
        <f>'Office Minor'!E575</f>
        <v>536</v>
      </c>
      <c r="F455" s="320">
        <f>'Office Minor'!F575</f>
        <v>258888</v>
      </c>
      <c r="G455" s="320">
        <f>'Office Minor'!G575</f>
        <v>53600</v>
      </c>
      <c r="H455" s="320">
        <f>'Office Minor'!H575</f>
        <v>10</v>
      </c>
      <c r="I455" s="523"/>
      <c r="J455" s="342">
        <f t="shared" si="102"/>
        <v>483</v>
      </c>
    </row>
    <row r="456" spans="1:10" s="334" customFormat="1" ht="17.100000000000001" customHeight="1" x14ac:dyDescent="0.25">
      <c r="A456" s="316">
        <v>12</v>
      </c>
      <c r="B456" s="862" t="str">
        <f>'Office Minor'!B576</f>
        <v>Murram/Gitti /Gravel</v>
      </c>
      <c r="C456" s="862">
        <f>'Office Minor'!C576</f>
        <v>0</v>
      </c>
      <c r="D456" s="862">
        <f>'Office Minor'!D576</f>
        <v>0</v>
      </c>
      <c r="E456" s="862">
        <f>'Office Minor'!E576</f>
        <v>0</v>
      </c>
      <c r="F456" s="862">
        <f>'Office Minor'!F576</f>
        <v>0</v>
      </c>
      <c r="G456" s="862">
        <f>'Office Minor'!G576</f>
        <v>0</v>
      </c>
      <c r="H456" s="862">
        <f>'Office Minor'!H576</f>
        <v>0</v>
      </c>
      <c r="I456" s="523"/>
      <c r="J456" s="342" t="e">
        <f t="shared" si="102"/>
        <v>#DIV/0!</v>
      </c>
    </row>
    <row r="457" spans="1:10" s="334" customFormat="1" ht="17.100000000000001" customHeight="1" x14ac:dyDescent="0.25">
      <c r="A457" s="316"/>
      <c r="B457" s="320" t="s">
        <v>75</v>
      </c>
      <c r="C457" s="320">
        <f>'Office Minor'!C577</f>
        <v>0</v>
      </c>
      <c r="D457" s="320">
        <f>'Office Minor'!D577</f>
        <v>0</v>
      </c>
      <c r="E457" s="320">
        <f>'Office Minor'!E577</f>
        <v>0</v>
      </c>
      <c r="F457" s="320">
        <f>'Office Minor'!F577</f>
        <v>0</v>
      </c>
      <c r="G457" s="320">
        <f>'Office Minor'!G577</f>
        <v>12377515</v>
      </c>
      <c r="H457" s="320">
        <f>'Office Minor'!H577</f>
        <v>0</v>
      </c>
      <c r="I457" s="523"/>
      <c r="J457" s="342"/>
    </row>
    <row r="458" spans="1:10" s="334" customFormat="1" ht="17.100000000000001" customHeight="1" x14ac:dyDescent="0.25">
      <c r="A458" s="316"/>
      <c r="B458" s="320" t="s">
        <v>49</v>
      </c>
      <c r="C458" s="320">
        <f>'Office Minor'!C578</f>
        <v>0</v>
      </c>
      <c r="D458" s="320">
        <f>'Office Minor'!D578</f>
        <v>0</v>
      </c>
      <c r="E458" s="320">
        <f>'Office Minor'!E578</f>
        <v>0</v>
      </c>
      <c r="F458" s="320">
        <f>'Office Minor'!F578</f>
        <v>0</v>
      </c>
      <c r="G458" s="320">
        <f>'Office Minor'!G578</f>
        <v>10312018</v>
      </c>
      <c r="H458" s="320">
        <f>'Office Minor'!H578</f>
        <v>0</v>
      </c>
      <c r="I458" s="523"/>
      <c r="J458" s="342"/>
    </row>
    <row r="459" spans="1:10" s="334" customFormat="1" ht="17.100000000000001" customHeight="1" x14ac:dyDescent="0.25">
      <c r="A459" s="1231" t="s">
        <v>50</v>
      </c>
      <c r="B459" s="1232"/>
      <c r="C459" s="497">
        <f t="shared" ref="C459:H459" si="103">SUM(C445:C458)</f>
        <v>125</v>
      </c>
      <c r="D459" s="498">
        <f t="shared" si="103"/>
        <v>1739.6599999999999</v>
      </c>
      <c r="E459" s="497">
        <f t="shared" si="103"/>
        <v>2647994</v>
      </c>
      <c r="F459" s="497">
        <f t="shared" si="103"/>
        <v>1387581576</v>
      </c>
      <c r="G459" s="497">
        <f t="shared" si="103"/>
        <v>187863061.30000001</v>
      </c>
      <c r="H459" s="497">
        <f t="shared" si="103"/>
        <v>1230</v>
      </c>
      <c r="I459" s="523"/>
      <c r="J459" s="342"/>
    </row>
    <row r="460" spans="1:10" s="334" customFormat="1" ht="17.100000000000001" customHeight="1" x14ac:dyDescent="0.25">
      <c r="A460" s="513"/>
      <c r="B460" s="513"/>
      <c r="C460" s="513"/>
      <c r="D460" s="513"/>
      <c r="E460" s="513"/>
      <c r="F460" s="513"/>
      <c r="G460" s="513"/>
      <c r="H460" s="513"/>
      <c r="I460" s="523"/>
      <c r="J460" s="342"/>
    </row>
    <row r="461" spans="1:10" s="334" customFormat="1" ht="17.100000000000001" customHeight="1" x14ac:dyDescent="0.25">
      <c r="A461" s="1264" t="s">
        <v>262</v>
      </c>
      <c r="B461" s="1264"/>
      <c r="C461" s="1264"/>
      <c r="D461" s="1264"/>
      <c r="E461" s="1264"/>
      <c r="F461" s="1264"/>
      <c r="G461" s="1264"/>
      <c r="H461" s="1264"/>
      <c r="I461" s="524">
        <f>G484+Distt.Major!G154</f>
        <v>11450992063</v>
      </c>
      <c r="J461" s="342"/>
    </row>
    <row r="462" spans="1:10" s="334" customFormat="1" ht="17.100000000000001" customHeight="1" x14ac:dyDescent="0.25">
      <c r="A462" s="1225" t="s">
        <v>182</v>
      </c>
      <c r="B462" s="1225" t="s">
        <v>3</v>
      </c>
      <c r="C462" s="1225" t="s">
        <v>4</v>
      </c>
      <c r="D462" s="834" t="s">
        <v>5</v>
      </c>
      <c r="E462" s="68" t="s">
        <v>6</v>
      </c>
      <c r="F462" s="833" t="s">
        <v>7</v>
      </c>
      <c r="G462" s="833" t="s">
        <v>8</v>
      </c>
      <c r="H462" s="68" t="s">
        <v>9</v>
      </c>
      <c r="I462" s="523"/>
      <c r="J462" s="342"/>
    </row>
    <row r="463" spans="1:10" s="334" customFormat="1" ht="17.100000000000001" customHeight="1" x14ac:dyDescent="0.25">
      <c r="A463" s="1230"/>
      <c r="B463" s="1230"/>
      <c r="C463" s="1230"/>
      <c r="D463" s="835" t="s">
        <v>78</v>
      </c>
      <c r="E463" s="835" t="s">
        <v>79</v>
      </c>
      <c r="F463" s="836" t="s">
        <v>80</v>
      </c>
      <c r="G463" s="836" t="s">
        <v>80</v>
      </c>
      <c r="H463" s="69" t="s">
        <v>13</v>
      </c>
      <c r="I463" s="523"/>
      <c r="J463" s="342"/>
    </row>
    <row r="464" spans="1:10" s="334" customFormat="1" ht="17.100000000000001" customHeight="1" x14ac:dyDescent="0.25">
      <c r="A464" s="891">
        <v>1</v>
      </c>
      <c r="B464" s="320" t="s">
        <v>62</v>
      </c>
      <c r="C464" s="321">
        <f>'Office Minor'!C8+'Office Minor'!C584+'Office Minor'!C599</f>
        <v>976</v>
      </c>
      <c r="D464" s="321">
        <f>'Office Minor'!D8+'Office Minor'!D584+'Office Minor'!D599</f>
        <v>1254.8200000000002</v>
      </c>
      <c r="E464" s="321">
        <f>'Office Minor'!E8+'Office Minor'!E584+'Office Minor'!E599</f>
        <v>4026177</v>
      </c>
      <c r="F464" s="321">
        <f>'Office Minor'!F8+'Office Minor'!F584+'Office Minor'!F599</f>
        <v>7590260992</v>
      </c>
      <c r="G464" s="321">
        <f>'Office Minor'!G8+'Office Minor'!G584+'Office Minor'!G599</f>
        <v>1316120960</v>
      </c>
      <c r="H464" s="321">
        <f>'Office Minor'!H8+'Office Minor'!H584+'Office Minor'!H599</f>
        <v>7655</v>
      </c>
      <c r="I464" s="523"/>
      <c r="J464" s="342">
        <f>F464/E464</f>
        <v>1885.2278456709678</v>
      </c>
    </row>
    <row r="465" spans="1:13" s="334" customFormat="1" ht="17.100000000000001" customHeight="1" x14ac:dyDescent="0.25">
      <c r="A465" s="316">
        <v>2</v>
      </c>
      <c r="B465" s="320" t="s">
        <v>393</v>
      </c>
      <c r="C465" s="321">
        <f>'Office Minor'!C600</f>
        <v>31</v>
      </c>
      <c r="D465" s="321">
        <f>'Office Minor'!D600</f>
        <v>34.71</v>
      </c>
      <c r="E465" s="321">
        <f>'Office Minor'!E600</f>
        <v>61074</v>
      </c>
      <c r="F465" s="321">
        <f>'Office Minor'!F600</f>
        <v>64127700</v>
      </c>
      <c r="G465" s="321">
        <f>'Office Minor'!G600</f>
        <v>11407000</v>
      </c>
      <c r="H465" s="321">
        <f>'Office Minor'!H600</f>
        <v>180</v>
      </c>
      <c r="I465" s="523"/>
      <c r="J465" s="342">
        <f t="shared" ref="J465:J483" si="104">F465/E465</f>
        <v>1050</v>
      </c>
      <c r="M465" s="196" t="s">
        <v>73</v>
      </c>
    </row>
    <row r="466" spans="1:13" s="334" customFormat="1" ht="17.100000000000001" customHeight="1" x14ac:dyDescent="0.25">
      <c r="A466" s="891">
        <v>3</v>
      </c>
      <c r="B466" s="320" t="s">
        <v>63</v>
      </c>
      <c r="C466" s="321">
        <f>'Office Minor'!C585+'Office Minor'!C601+'Office Minor'!C10</f>
        <v>96</v>
      </c>
      <c r="D466" s="321">
        <f>'Office Minor'!D585+'Office Minor'!D601+'Office Minor'!D10</f>
        <v>105.5534</v>
      </c>
      <c r="E466" s="321">
        <f>'Office Minor'!E585+'Office Minor'!E601+'Office Minor'!E10</f>
        <v>11001677</v>
      </c>
      <c r="F466" s="321">
        <f>'Office Minor'!F585+'Office Minor'!F601+'Office Minor'!F10</f>
        <v>2938502350</v>
      </c>
      <c r="G466" s="321">
        <f>'Office Minor'!G585+'Office Minor'!G601+'Office Minor'!G10</f>
        <v>95021657</v>
      </c>
      <c r="H466" s="321">
        <f>'Office Minor'!H585+'Office Minor'!H601+'Office Minor'!H10</f>
        <v>1590</v>
      </c>
      <c r="I466" s="523"/>
      <c r="J466" s="342">
        <f t="shared" si="104"/>
        <v>267.09585729521052</v>
      </c>
    </row>
    <row r="467" spans="1:13" s="334" customFormat="1" ht="17.100000000000001" customHeight="1" x14ac:dyDescent="0.25">
      <c r="A467" s="316">
        <v>4</v>
      </c>
      <c r="B467" s="320" t="s">
        <v>25</v>
      </c>
      <c r="C467" s="321">
        <f>'Office Minor'!C586</f>
        <v>0</v>
      </c>
      <c r="D467" s="321">
        <f>'Office Minor'!D586</f>
        <v>0</v>
      </c>
      <c r="E467" s="321">
        <f>'Office Minor'!E586</f>
        <v>0</v>
      </c>
      <c r="F467" s="321">
        <f>'Office Minor'!F586</f>
        <v>0</v>
      </c>
      <c r="G467" s="321">
        <f>'Office Minor'!G586</f>
        <v>0</v>
      </c>
      <c r="H467" s="321">
        <f>'Office Minor'!H586</f>
        <v>0</v>
      </c>
      <c r="I467" s="523"/>
      <c r="J467" s="342" t="e">
        <f t="shared" si="104"/>
        <v>#DIV/0!</v>
      </c>
    </row>
    <row r="468" spans="1:13" s="334" customFormat="1" ht="17.100000000000001" customHeight="1" x14ac:dyDescent="0.25">
      <c r="A468" s="891">
        <v>5</v>
      </c>
      <c r="B468" s="320" t="s">
        <v>58</v>
      </c>
      <c r="C468" s="321">
        <f>'Office Minor'!C588+'Office Minor'!C9+'Office Minor'!C602</f>
        <v>383</v>
      </c>
      <c r="D468" s="321">
        <f>'Office Minor'!D588+'Office Minor'!D9+'Office Minor'!D602</f>
        <v>970.57</v>
      </c>
      <c r="E468" s="321">
        <f>'Office Minor'!E588+'Office Minor'!E9+'Office Minor'!E602</f>
        <v>1965915</v>
      </c>
      <c r="F468" s="321">
        <f>'Office Minor'!F588+'Office Minor'!F9+'Office Minor'!F602</f>
        <v>4226717121</v>
      </c>
      <c r="G468" s="321">
        <f>'Office Minor'!G588+'Office Minor'!G9+'Office Minor'!G602</f>
        <v>805267255</v>
      </c>
      <c r="H468" s="321">
        <f>'Office Minor'!H588+'Office Minor'!H9+'Office Minor'!H602</f>
        <v>1722</v>
      </c>
      <c r="I468" s="523"/>
      <c r="J468" s="342">
        <f t="shared" si="104"/>
        <v>2149.9999343817003</v>
      </c>
    </row>
    <row r="469" spans="1:13" s="334" customFormat="1" ht="17.100000000000001" customHeight="1" x14ac:dyDescent="0.25">
      <c r="A469" s="316">
        <v>6</v>
      </c>
      <c r="B469" s="321" t="s">
        <v>188</v>
      </c>
      <c r="C469" s="321">
        <f>'Office Minor'!C590</f>
        <v>0</v>
      </c>
      <c r="D469" s="321">
        <f>'Office Minor'!D590</f>
        <v>0</v>
      </c>
      <c r="E469" s="321">
        <f>'Office Minor'!E590</f>
        <v>0</v>
      </c>
      <c r="F469" s="321">
        <f>'Office Minor'!F590</f>
        <v>0</v>
      </c>
      <c r="G469" s="321">
        <f>'Office Minor'!G590</f>
        <v>0</v>
      </c>
      <c r="H469" s="321">
        <f>'Office Minor'!H590</f>
        <v>0</v>
      </c>
      <c r="I469" s="523"/>
      <c r="J469" s="342"/>
    </row>
    <row r="470" spans="1:13" s="334" customFormat="1" ht="17.100000000000001" customHeight="1" x14ac:dyDescent="0.25">
      <c r="A470" s="891">
        <v>7</v>
      </c>
      <c r="B470" s="320" t="s">
        <v>59</v>
      </c>
      <c r="C470" s="321">
        <f>'Office Minor'!C589+'Office Minor'!C603+'Office Minor'!C12</f>
        <v>4</v>
      </c>
      <c r="D470" s="321">
        <f>'Office Minor'!D589+'Office Minor'!D603+'Office Minor'!D12</f>
        <v>1978.8088</v>
      </c>
      <c r="E470" s="321">
        <f>'Office Minor'!E589+'Office Minor'!E603+'Office Minor'!E12</f>
        <v>171426.11111111112</v>
      </c>
      <c r="F470" s="321">
        <f>'Office Minor'!F589+'Office Minor'!F603+'Office Minor'!F12</f>
        <v>94284361.111111119</v>
      </c>
      <c r="G470" s="321">
        <f>'Office Minor'!G589+'Office Minor'!G603+'Office Minor'!G12</f>
        <v>9471175</v>
      </c>
      <c r="H470" s="321">
        <f>'Office Minor'!H589+'Office Minor'!H603+'Office Minor'!H12</f>
        <v>150</v>
      </c>
      <c r="I470" s="523"/>
      <c r="J470" s="342">
        <f t="shared" si="104"/>
        <v>550</v>
      </c>
    </row>
    <row r="471" spans="1:13" s="334" customFormat="1" ht="17.100000000000001" customHeight="1" x14ac:dyDescent="0.25">
      <c r="A471" s="316">
        <v>8</v>
      </c>
      <c r="B471" s="317" t="s">
        <v>46</v>
      </c>
      <c r="C471" s="321">
        <f>'Office Minor'!C604</f>
        <v>0</v>
      </c>
      <c r="D471" s="321">
        <f>'Office Minor'!D604</f>
        <v>0</v>
      </c>
      <c r="E471" s="321">
        <f>'Office Minor'!E604</f>
        <v>0</v>
      </c>
      <c r="F471" s="321">
        <f>'Office Minor'!F604</f>
        <v>0</v>
      </c>
      <c r="G471" s="321">
        <f>'Office Minor'!G604</f>
        <v>0</v>
      </c>
      <c r="H471" s="321">
        <f>'Office Minor'!H604</f>
        <v>0</v>
      </c>
      <c r="I471" s="523"/>
      <c r="J471" s="342" t="e">
        <f t="shared" si="104"/>
        <v>#DIV/0!</v>
      </c>
    </row>
    <row r="472" spans="1:13" s="334" customFormat="1" ht="17.100000000000001" customHeight="1" x14ac:dyDescent="0.25">
      <c r="A472" s="891">
        <v>9</v>
      </c>
      <c r="B472" s="317" t="s">
        <v>27</v>
      </c>
      <c r="C472" s="321">
        <f>'Office Minor'!C605</f>
        <v>20</v>
      </c>
      <c r="D472" s="321">
        <f>'Office Minor'!D605</f>
        <v>833.34</v>
      </c>
      <c r="E472" s="321">
        <f>'Office Minor'!E605</f>
        <v>1712527</v>
      </c>
      <c r="F472" s="321">
        <f>'Office Minor'!F605</f>
        <v>2654416850</v>
      </c>
      <c r="G472" s="321">
        <f>'Office Minor'!G605</f>
        <v>72507000</v>
      </c>
      <c r="H472" s="321">
        <f>'Office Minor'!H605</f>
        <v>390</v>
      </c>
      <c r="I472" s="523"/>
      <c r="J472" s="342">
        <f t="shared" si="104"/>
        <v>1550</v>
      </c>
    </row>
    <row r="473" spans="1:13" s="334" customFormat="1" ht="17.100000000000001" customHeight="1" x14ac:dyDescent="0.25">
      <c r="A473" s="316">
        <v>10</v>
      </c>
      <c r="B473" s="317" t="s">
        <v>40</v>
      </c>
      <c r="C473" s="321">
        <f>'Office Minor'!C607+'Office Minor'!C587+'Office Minor'!C13</f>
        <v>322</v>
      </c>
      <c r="D473" s="321">
        <f>'Office Minor'!D607+'Office Minor'!D587+'Office Minor'!D13</f>
        <v>1462.4299999999998</v>
      </c>
      <c r="E473" s="321">
        <f>'Office Minor'!E607+'Office Minor'!E587+'Office Minor'!E13</f>
        <v>2075997</v>
      </c>
      <c r="F473" s="321">
        <f>'Office Minor'!F607+'Office Minor'!F587+'Office Minor'!F13</f>
        <v>1003998684</v>
      </c>
      <c r="G473" s="321">
        <f>'Office Minor'!G607+'Office Minor'!G587+'Office Minor'!G13</f>
        <v>116637645</v>
      </c>
      <c r="H473" s="321">
        <f>'Office Minor'!H607+'Office Minor'!H587+'Office Minor'!H13</f>
        <v>12364</v>
      </c>
      <c r="I473" s="523"/>
      <c r="J473" s="342">
        <f t="shared" si="104"/>
        <v>483.62241563932895</v>
      </c>
    </row>
    <row r="474" spans="1:13" s="334" customFormat="1" ht="17.100000000000001" customHeight="1" x14ac:dyDescent="0.25">
      <c r="A474" s="891">
        <v>11</v>
      </c>
      <c r="B474" s="317" t="s">
        <v>41</v>
      </c>
      <c r="C474" s="321">
        <f>'Office Minor'!C15</f>
        <v>380</v>
      </c>
      <c r="D474" s="321">
        <f>'Office Minor'!D15</f>
        <v>1829.4269999999999</v>
      </c>
      <c r="E474" s="321">
        <f>'Office Minor'!E15</f>
        <v>705055</v>
      </c>
      <c r="F474" s="321">
        <f>'Office Minor'!F15</f>
        <v>341951675</v>
      </c>
      <c r="G474" s="321">
        <f>'Office Minor'!G15</f>
        <v>103765098</v>
      </c>
      <c r="H474" s="321">
        <f>'Office Minor'!H15</f>
        <v>458</v>
      </c>
      <c r="I474" s="523"/>
      <c r="J474" s="342"/>
    </row>
    <row r="475" spans="1:13" s="334" customFormat="1" ht="17.100000000000001" customHeight="1" x14ac:dyDescent="0.25">
      <c r="A475" s="316">
        <v>12</v>
      </c>
      <c r="B475" s="317" t="s">
        <v>24</v>
      </c>
      <c r="C475" s="321">
        <f>'Office Minor'!C606</f>
        <v>0</v>
      </c>
      <c r="D475" s="321">
        <f>'Office Minor'!D606</f>
        <v>0</v>
      </c>
      <c r="E475" s="321">
        <f>'Office Minor'!E606</f>
        <v>0</v>
      </c>
      <c r="F475" s="321">
        <f>'Office Minor'!F606</f>
        <v>0</v>
      </c>
      <c r="G475" s="321">
        <f>'Office Minor'!G606</f>
        <v>0</v>
      </c>
      <c r="H475" s="321">
        <f>'Office Minor'!H606</f>
        <v>0</v>
      </c>
      <c r="I475" s="523"/>
      <c r="J475" s="342" t="e">
        <f t="shared" si="104"/>
        <v>#DIV/0!</v>
      </c>
    </row>
    <row r="476" spans="1:13" s="334" customFormat="1" ht="17.100000000000001" customHeight="1" x14ac:dyDescent="0.25">
      <c r="A476" s="891">
        <v>13</v>
      </c>
      <c r="B476" s="317" t="s">
        <v>159</v>
      </c>
      <c r="C476" s="321">
        <f>'Office Minor'!C16</f>
        <v>2</v>
      </c>
      <c r="D476" s="321">
        <f>'Office Minor'!D16</f>
        <v>9.8800000000000008</v>
      </c>
      <c r="E476" s="321">
        <f>'Office Minor'!E16</f>
        <v>635</v>
      </c>
      <c r="F476" s="321">
        <f>'Office Minor'!F16</f>
        <v>1238250</v>
      </c>
      <c r="G476" s="321">
        <f>'Office Minor'!G16</f>
        <v>489653</v>
      </c>
      <c r="H476" s="321">
        <f>'Office Minor'!H16</f>
        <v>10</v>
      </c>
      <c r="I476" s="523"/>
      <c r="J476" s="342"/>
    </row>
    <row r="477" spans="1:13" s="334" customFormat="1" ht="17.100000000000001" customHeight="1" x14ac:dyDescent="0.25">
      <c r="A477" s="316">
        <v>14</v>
      </c>
      <c r="B477" s="317" t="s">
        <v>44</v>
      </c>
      <c r="C477" s="321">
        <f>'Office Minor'!C608</f>
        <v>1</v>
      </c>
      <c r="D477" s="321">
        <f>'Office Minor'!D608</f>
        <v>4.2</v>
      </c>
      <c r="E477" s="321">
        <f>'Office Minor'!E608</f>
        <v>484340.90909090912</v>
      </c>
      <c r="F477" s="321">
        <f>'Office Minor'!F608</f>
        <v>251857272.72727275</v>
      </c>
      <c r="G477" s="321">
        <f>'Office Minor'!G608</f>
        <v>42622000</v>
      </c>
      <c r="H477" s="321">
        <f>'Office Minor'!H608</f>
        <v>109</v>
      </c>
      <c r="I477" s="523"/>
      <c r="J477" s="342">
        <f t="shared" si="104"/>
        <v>520</v>
      </c>
    </row>
    <row r="478" spans="1:13" s="334" customFormat="1" ht="17.100000000000001" customHeight="1" x14ac:dyDescent="0.25">
      <c r="A478" s="891">
        <v>15</v>
      </c>
      <c r="B478" s="886" t="s">
        <v>73</v>
      </c>
      <c r="C478" s="321">
        <f>'Office Minor'!C14</f>
        <v>2</v>
      </c>
      <c r="D478" s="321">
        <f>'Office Minor'!D14</f>
        <v>4.51</v>
      </c>
      <c r="E478" s="321">
        <f>'Office Minor'!E14</f>
        <v>7768</v>
      </c>
      <c r="F478" s="321">
        <f>'Office Minor'!F14</f>
        <v>15536000</v>
      </c>
      <c r="G478" s="321">
        <f>'Office Minor'!G14</f>
        <v>2101049</v>
      </c>
      <c r="H478" s="321">
        <f>'Office Minor'!H14</f>
        <v>45</v>
      </c>
      <c r="I478" s="523"/>
      <c r="J478" s="342"/>
    </row>
    <row r="479" spans="1:13" s="334" customFormat="1" ht="16.5" customHeight="1" x14ac:dyDescent="0.25">
      <c r="A479" s="316">
        <v>16</v>
      </c>
      <c r="B479" s="317" t="s">
        <v>430</v>
      </c>
      <c r="C479" s="321">
        <f>'Office Minor'!C11</f>
        <v>7</v>
      </c>
      <c r="D479" s="321">
        <f>'Office Minor'!D11</f>
        <v>11.5</v>
      </c>
      <c r="E479" s="321">
        <f>'Office Minor'!E11</f>
        <v>203</v>
      </c>
      <c r="F479" s="321">
        <f>'Office Minor'!F11</f>
        <v>142100</v>
      </c>
      <c r="G479" s="321">
        <f>'Office Minor'!G11</f>
        <v>1437118</v>
      </c>
      <c r="H479" s="321">
        <f>'Office Minor'!H11</f>
        <v>25</v>
      </c>
      <c r="I479" s="524"/>
      <c r="J479" s="342">
        <f t="shared" si="104"/>
        <v>700</v>
      </c>
    </row>
    <row r="480" spans="1:13" s="334" customFormat="1" ht="16.5" customHeight="1" x14ac:dyDescent="0.25">
      <c r="A480" s="891">
        <v>17</v>
      </c>
      <c r="B480" s="317" t="str">
        <f>'Office Minor'!B609</f>
        <v>Phyrophilite</v>
      </c>
      <c r="C480" s="907">
        <f>'Office Minor'!C609</f>
        <v>1</v>
      </c>
      <c r="D480" s="907">
        <f>'Office Minor'!D609</f>
        <v>4</v>
      </c>
      <c r="E480" s="907">
        <f>'Office Minor'!E609</f>
        <v>0</v>
      </c>
      <c r="F480" s="907">
        <f>'Office Minor'!F609</f>
        <v>0</v>
      </c>
      <c r="G480" s="907">
        <f>'Office Minor'!G609</f>
        <v>0</v>
      </c>
      <c r="H480" s="907">
        <f>'Office Minor'!H609</f>
        <v>0</v>
      </c>
      <c r="I480" s="524"/>
      <c r="J480" s="342"/>
    </row>
    <row r="481" spans="1:10" s="334" customFormat="1" ht="16.5" customHeight="1" x14ac:dyDescent="0.25">
      <c r="A481" s="953">
        <v>18</v>
      </c>
      <c r="B481" s="862" t="s">
        <v>65</v>
      </c>
      <c r="C481" s="886">
        <f>'Office Minor'!C17+'Office Minor'!C591</f>
        <v>0</v>
      </c>
      <c r="D481" s="886">
        <f>'Office Minor'!D17+'Office Minor'!D591</f>
        <v>0</v>
      </c>
      <c r="E481" s="886">
        <f>'Office Minor'!E17+'Office Minor'!E591</f>
        <v>137285</v>
      </c>
      <c r="F481" s="886">
        <f>'Office Minor'!F17+'Office Minor'!F591</f>
        <v>3843980</v>
      </c>
      <c r="G481" s="886">
        <f>'Office Minor'!G17+'Office Minor'!G591</f>
        <v>1564989</v>
      </c>
      <c r="H481" s="886">
        <f>'Office Minor'!H17+'Office Minor'!H591</f>
        <v>15</v>
      </c>
      <c r="I481" s="524"/>
      <c r="J481" s="342"/>
    </row>
    <row r="482" spans="1:10" s="334" customFormat="1" ht="17.100000000000001" customHeight="1" x14ac:dyDescent="0.25">
      <c r="A482" s="852"/>
      <c r="B482" s="320" t="s">
        <v>75</v>
      </c>
      <c r="C482" s="321">
        <v>0</v>
      </c>
      <c r="D482" s="321">
        <v>0</v>
      </c>
      <c r="E482" s="321">
        <v>0</v>
      </c>
      <c r="F482" s="321">
        <v>0</v>
      </c>
      <c r="G482" s="887">
        <f>'Office Minor'!G610+'Office Minor'!G592+'Office Minor'!G18</f>
        <v>54659362</v>
      </c>
      <c r="H482" s="321">
        <v>0</v>
      </c>
      <c r="I482" s="523"/>
      <c r="J482" s="342" t="e">
        <f t="shared" si="104"/>
        <v>#DIV/0!</v>
      </c>
    </row>
    <row r="483" spans="1:10" s="334" customFormat="1" ht="17.100000000000001" customHeight="1" x14ac:dyDescent="0.25">
      <c r="A483" s="852"/>
      <c r="B483" s="320" t="s">
        <v>49</v>
      </c>
      <c r="C483" s="321">
        <v>0</v>
      </c>
      <c r="D483" s="321">
        <v>0</v>
      </c>
      <c r="E483" s="321">
        <v>0</v>
      </c>
      <c r="F483" s="321">
        <v>0</v>
      </c>
      <c r="G483" s="887">
        <f>'Office Minor'!G611+'Office Minor'!G593+'Office Minor'!G19</f>
        <v>58041902</v>
      </c>
      <c r="H483" s="321">
        <v>0</v>
      </c>
      <c r="I483" s="523"/>
      <c r="J483" s="342" t="e">
        <f t="shared" si="104"/>
        <v>#DIV/0!</v>
      </c>
    </row>
    <row r="484" spans="1:10" s="334" customFormat="1" ht="17.100000000000001" customHeight="1" x14ac:dyDescent="0.25">
      <c r="A484" s="1231" t="s">
        <v>50</v>
      </c>
      <c r="B484" s="1232"/>
      <c r="C484" s="878">
        <f t="shared" ref="C484:H484" si="105">SUM(C464:C483)</f>
        <v>2225</v>
      </c>
      <c r="D484" s="889">
        <f t="shared" si="105"/>
        <v>8503.7492000000002</v>
      </c>
      <c r="E484" s="499">
        <f t="shared" si="105"/>
        <v>22350080.020202022</v>
      </c>
      <c r="F484" s="499">
        <f t="shared" si="105"/>
        <v>19186877335.838383</v>
      </c>
      <c r="G484" s="917">
        <f t="shared" si="105"/>
        <v>2691113863</v>
      </c>
      <c r="H484" s="878">
        <f t="shared" si="105"/>
        <v>24713</v>
      </c>
      <c r="I484" s="523"/>
      <c r="J484" s="342"/>
    </row>
    <row r="485" spans="1:10" s="334" customFormat="1" ht="17.100000000000001" customHeight="1" x14ac:dyDescent="0.25">
      <c r="A485" s="513"/>
      <c r="B485" s="513"/>
      <c r="C485" s="513"/>
      <c r="D485" s="513"/>
      <c r="E485" s="513"/>
      <c r="F485" s="513"/>
      <c r="G485" s="513"/>
      <c r="H485" s="513"/>
      <c r="I485" s="523"/>
      <c r="J485" s="342"/>
    </row>
    <row r="486" spans="1:10" s="334" customFormat="1" ht="17.100000000000001" customHeight="1" x14ac:dyDescent="0.25">
      <c r="A486" s="1263" t="s">
        <v>263</v>
      </c>
      <c r="B486" s="1263"/>
      <c r="C486" s="1263"/>
      <c r="D486" s="1263"/>
      <c r="E486" s="1263"/>
      <c r="F486" s="1263"/>
      <c r="G486" s="1263"/>
      <c r="H486" s="1263"/>
      <c r="I486" s="523"/>
      <c r="J486" s="342"/>
    </row>
    <row r="487" spans="1:10" s="334" customFormat="1" ht="17.100000000000001" customHeight="1" x14ac:dyDescent="0.25">
      <c r="A487" s="1225" t="s">
        <v>182</v>
      </c>
      <c r="B487" s="1225" t="s">
        <v>3</v>
      </c>
      <c r="C487" s="1225" t="s">
        <v>4</v>
      </c>
      <c r="D487" s="834" t="s">
        <v>5</v>
      </c>
      <c r="E487" s="68" t="s">
        <v>6</v>
      </c>
      <c r="F487" s="833" t="s">
        <v>7</v>
      </c>
      <c r="G487" s="833" t="s">
        <v>8</v>
      </c>
      <c r="H487" s="68" t="s">
        <v>9</v>
      </c>
      <c r="I487" s="523"/>
      <c r="J487" s="342"/>
    </row>
    <row r="488" spans="1:10" s="334" customFormat="1" ht="17.100000000000001" customHeight="1" x14ac:dyDescent="0.25">
      <c r="A488" s="1230"/>
      <c r="B488" s="1230"/>
      <c r="C488" s="1230"/>
      <c r="D488" s="835" t="s">
        <v>78</v>
      </c>
      <c r="E488" s="835" t="s">
        <v>79</v>
      </c>
      <c r="F488" s="836" t="s">
        <v>80</v>
      </c>
      <c r="G488" s="836" t="s">
        <v>80</v>
      </c>
      <c r="H488" s="69" t="s">
        <v>13</v>
      </c>
      <c r="I488" s="523"/>
      <c r="J488" s="342"/>
    </row>
    <row r="489" spans="1:10" s="334" customFormat="1" ht="17.100000000000001" customHeight="1" x14ac:dyDescent="0.25">
      <c r="A489" s="316">
        <v>1</v>
      </c>
      <c r="B489" s="320" t="s">
        <v>146</v>
      </c>
      <c r="C489" s="320">
        <f>'Office Minor'!C674</f>
        <v>43</v>
      </c>
      <c r="D489" s="320">
        <f>'Office Minor'!D674</f>
        <v>102.44</v>
      </c>
      <c r="E489" s="320">
        <f>'Office Minor'!E674</f>
        <v>850083</v>
      </c>
      <c r="F489" s="320">
        <f>'Office Minor'!F674</f>
        <v>178517610</v>
      </c>
      <c r="G489" s="320">
        <f>'Office Minor'!G674</f>
        <v>59605810</v>
      </c>
      <c r="H489" s="320">
        <f>'Office Minor'!H674</f>
        <v>540</v>
      </c>
      <c r="I489" s="524" t="e">
        <f>G509+Distt.Major!#REF!</f>
        <v>#REF!</v>
      </c>
      <c r="J489" s="342">
        <f>F489/E489</f>
        <v>210.00021174402971</v>
      </c>
    </row>
    <row r="490" spans="1:10" s="334" customFormat="1" ht="17.100000000000001" customHeight="1" x14ac:dyDescent="0.25">
      <c r="A490" s="316">
        <v>2</v>
      </c>
      <c r="B490" s="320" t="s">
        <v>59</v>
      </c>
      <c r="C490" s="320">
        <f>'Office Minor'!C675</f>
        <v>2</v>
      </c>
      <c r="D490" s="320">
        <f>'Office Minor'!D675</f>
        <v>1081.05</v>
      </c>
      <c r="E490" s="320">
        <f>'Office Minor'!E675</f>
        <v>2077748</v>
      </c>
      <c r="F490" s="320">
        <f>'Office Minor'!F675</f>
        <v>1142761681</v>
      </c>
      <c r="G490" s="320">
        <f>'Office Minor'!G675</f>
        <v>137110910</v>
      </c>
      <c r="H490" s="320">
        <f>'Office Minor'!H675</f>
        <v>350</v>
      </c>
      <c r="I490" s="523"/>
      <c r="J490" s="342">
        <f t="shared" ref="J490:J495" si="106">F490/E490</f>
        <v>550.00013524257997</v>
      </c>
    </row>
    <row r="491" spans="1:10" s="334" customFormat="1" ht="17.100000000000001" customHeight="1" x14ac:dyDescent="0.25">
      <c r="A491" s="316">
        <v>3</v>
      </c>
      <c r="B491" s="320" t="str">
        <f>'Office Minor'!B676</f>
        <v>Brick Earth</v>
      </c>
      <c r="C491" s="320">
        <f>'Office Minor'!C676</f>
        <v>0</v>
      </c>
      <c r="D491" s="320">
        <f>'Office Minor'!D676</f>
        <v>0</v>
      </c>
      <c r="E491" s="320">
        <f>'Office Minor'!E676</f>
        <v>11890</v>
      </c>
      <c r="F491" s="320">
        <f>'Office Minor'!F676</f>
        <v>2496900</v>
      </c>
      <c r="G491" s="320">
        <f>'Office Minor'!G676</f>
        <v>380480</v>
      </c>
      <c r="H491" s="320">
        <f>'Office Minor'!H676</f>
        <v>10</v>
      </c>
      <c r="I491" s="523"/>
      <c r="J491" s="342"/>
    </row>
    <row r="492" spans="1:10" s="334" customFormat="1" ht="17.100000000000001" customHeight="1" x14ac:dyDescent="0.25">
      <c r="A492" s="316">
        <v>4</v>
      </c>
      <c r="B492" s="317" t="s">
        <v>40</v>
      </c>
      <c r="C492" s="320">
        <f>'Office Minor'!C677</f>
        <v>3</v>
      </c>
      <c r="D492" s="320">
        <f>'Office Minor'!D677</f>
        <v>17.25</v>
      </c>
      <c r="E492" s="320">
        <f>'Office Minor'!E677</f>
        <v>20568</v>
      </c>
      <c r="F492" s="320">
        <f>'Office Minor'!F677</f>
        <v>12341352</v>
      </c>
      <c r="G492" s="320">
        <f>'Office Minor'!G677</f>
        <v>1966772</v>
      </c>
      <c r="H492" s="320">
        <f>'Office Minor'!H677</f>
        <v>150</v>
      </c>
      <c r="I492" s="523"/>
      <c r="J492" s="342">
        <f t="shared" si="106"/>
        <v>600.02683780630105</v>
      </c>
    </row>
    <row r="493" spans="1:10" s="334" customFormat="1" ht="17.100000000000001" customHeight="1" x14ac:dyDescent="0.25">
      <c r="A493" s="316">
        <v>5</v>
      </c>
      <c r="B493" s="331" t="s">
        <v>68</v>
      </c>
      <c r="C493" s="320">
        <f>'Office Minor'!C679</f>
        <v>0</v>
      </c>
      <c r="D493" s="320">
        <f>'Office Minor'!D679</f>
        <v>0</v>
      </c>
      <c r="E493" s="320">
        <f>'Office Minor'!E679</f>
        <v>0</v>
      </c>
      <c r="F493" s="320">
        <f>'Office Minor'!F679</f>
        <v>0</v>
      </c>
      <c r="G493" s="320">
        <f>'Office Minor'!G679</f>
        <v>0</v>
      </c>
      <c r="H493" s="320">
        <f>'Office Minor'!H679</f>
        <v>0</v>
      </c>
      <c r="I493" s="523"/>
      <c r="J493" s="342"/>
    </row>
    <row r="494" spans="1:10" s="334" customFormat="1" ht="17.100000000000001" customHeight="1" x14ac:dyDescent="0.25">
      <c r="A494" s="316">
        <v>6</v>
      </c>
      <c r="B494" s="320" t="s">
        <v>205</v>
      </c>
      <c r="C494" s="320">
        <f>'Office Minor'!C678</f>
        <v>0</v>
      </c>
      <c r="D494" s="320">
        <f>'Office Minor'!D678</f>
        <v>0</v>
      </c>
      <c r="E494" s="320">
        <f>'Office Minor'!E678</f>
        <v>0</v>
      </c>
      <c r="F494" s="320">
        <f>'Office Minor'!F678</f>
        <v>0</v>
      </c>
      <c r="G494" s="320">
        <f>'Office Minor'!G678</f>
        <v>0</v>
      </c>
      <c r="H494" s="320">
        <f>'Office Minor'!H678</f>
        <v>0</v>
      </c>
      <c r="I494" s="523"/>
      <c r="J494" s="342" t="e">
        <f t="shared" si="106"/>
        <v>#DIV/0!</v>
      </c>
    </row>
    <row r="495" spans="1:10" s="334" customFormat="1" ht="17.100000000000001" customHeight="1" x14ac:dyDescent="0.25">
      <c r="A495" s="316">
        <v>7</v>
      </c>
      <c r="B495" s="317" t="s">
        <v>407</v>
      </c>
      <c r="C495" s="320">
        <f>'Office Minor'!C680</f>
        <v>1</v>
      </c>
      <c r="D495" s="320">
        <f>'Office Minor'!D680</f>
        <v>23.94</v>
      </c>
      <c r="E495" s="320">
        <f>'Office Minor'!E680</f>
        <v>24341</v>
      </c>
      <c r="F495" s="320">
        <f>'Office Minor'!F680</f>
        <v>10710136</v>
      </c>
      <c r="G495" s="320">
        <f>'Office Minor'!G680</f>
        <v>1734579</v>
      </c>
      <c r="H495" s="320">
        <f>'Office Minor'!H680</f>
        <v>25</v>
      </c>
      <c r="I495" s="523"/>
      <c r="J495" s="342">
        <f t="shared" si="106"/>
        <v>440.003943962861</v>
      </c>
    </row>
    <row r="496" spans="1:10" s="334" customFormat="1" ht="17.100000000000001" customHeight="1" x14ac:dyDescent="0.25">
      <c r="A496" s="316">
        <v>8</v>
      </c>
      <c r="B496" s="317" t="s">
        <v>58</v>
      </c>
      <c r="C496" s="320">
        <f>'Office Minor'!C681</f>
        <v>1</v>
      </c>
      <c r="D496" s="320">
        <f>'Office Minor'!D681</f>
        <v>1.04</v>
      </c>
      <c r="E496" s="320">
        <f>'Office Minor'!E681</f>
        <v>291</v>
      </c>
      <c r="F496" s="320">
        <f>'Office Minor'!F681</f>
        <v>626209</v>
      </c>
      <c r="G496" s="320">
        <f>'Office Minor'!G681</f>
        <v>84465</v>
      </c>
      <c r="H496" s="320">
        <f>'Office Minor'!H681</f>
        <v>25</v>
      </c>
      <c r="I496" s="523"/>
      <c r="J496" s="342"/>
    </row>
    <row r="497" spans="1:10" s="334" customFormat="1" ht="17.100000000000001" customHeight="1" x14ac:dyDescent="0.25">
      <c r="A497" s="316">
        <v>9</v>
      </c>
      <c r="B497" s="317" t="s">
        <v>65</v>
      </c>
      <c r="C497" s="320">
        <f>'Office Minor'!C682</f>
        <v>0</v>
      </c>
      <c r="D497" s="320">
        <f>'Office Minor'!D682</f>
        <v>0</v>
      </c>
      <c r="E497" s="320">
        <f>'Office Minor'!E682</f>
        <v>625000</v>
      </c>
      <c r="F497" s="320">
        <f>'Office Minor'!F682</f>
        <v>37500000</v>
      </c>
      <c r="G497" s="320">
        <f>'Office Minor'!G682</f>
        <v>3921860</v>
      </c>
      <c r="H497" s="320">
        <f>'Office Minor'!H682</f>
        <v>25</v>
      </c>
      <c r="I497" s="523"/>
      <c r="J497" s="342"/>
    </row>
    <row r="498" spans="1:10" s="334" customFormat="1" ht="17.100000000000001" customHeight="1" x14ac:dyDescent="0.25">
      <c r="A498" s="316"/>
      <c r="B498" s="320" t="s">
        <v>75</v>
      </c>
      <c r="C498" s="320"/>
      <c r="D498" s="320"/>
      <c r="E498" s="320"/>
      <c r="F498" s="320"/>
      <c r="G498" s="320">
        <f>'Office Minor'!G683</f>
        <v>11347361</v>
      </c>
      <c r="H498" s="320"/>
      <c r="I498" s="523"/>
      <c r="J498" s="342"/>
    </row>
    <row r="499" spans="1:10" s="334" customFormat="1" ht="17.100000000000001" customHeight="1" x14ac:dyDescent="0.25">
      <c r="A499" s="316"/>
      <c r="B499" s="320" t="s">
        <v>49</v>
      </c>
      <c r="C499" s="320"/>
      <c r="D499" s="320"/>
      <c r="E499" s="320"/>
      <c r="F499" s="320"/>
      <c r="G499" s="320">
        <f>'Office Minor'!G684</f>
        <v>16864874</v>
      </c>
      <c r="H499" s="320"/>
      <c r="I499" s="523"/>
      <c r="J499" s="342"/>
    </row>
    <row r="500" spans="1:10" s="334" customFormat="1" ht="17.100000000000001" customHeight="1" x14ac:dyDescent="0.25">
      <c r="A500" s="1231" t="s">
        <v>50</v>
      </c>
      <c r="B500" s="1232"/>
      <c r="C500" s="888">
        <f t="shared" ref="C500:H500" si="107">SUM(C489:C499)</f>
        <v>50</v>
      </c>
      <c r="D500" s="918">
        <f t="shared" si="107"/>
        <v>1225.72</v>
      </c>
      <c r="E500" s="514">
        <f t="shared" si="107"/>
        <v>3609921</v>
      </c>
      <c r="F500" s="516">
        <f t="shared" si="107"/>
        <v>1384953888</v>
      </c>
      <c r="G500" s="516">
        <f t="shared" si="107"/>
        <v>233017111</v>
      </c>
      <c r="H500" s="888">
        <f t="shared" si="107"/>
        <v>1125</v>
      </c>
      <c r="I500" s="524">
        <f>G500</f>
        <v>233017111</v>
      </c>
      <c r="J500" s="342"/>
    </row>
    <row r="501" spans="1:10" s="334" customFormat="1" ht="17.100000000000001" customHeight="1" x14ac:dyDescent="0.25">
      <c r="A501" s="513"/>
      <c r="B501" s="513"/>
      <c r="C501" s="513"/>
      <c r="D501" s="513"/>
      <c r="E501" s="513"/>
      <c r="F501" s="513"/>
      <c r="G501" s="513"/>
      <c r="H501" s="513"/>
      <c r="I501" s="523"/>
      <c r="J501" s="342"/>
    </row>
    <row r="502" spans="1:10" s="334" customFormat="1" ht="17.100000000000001" customHeight="1" x14ac:dyDescent="0.25">
      <c r="A502" s="1264" t="s">
        <v>289</v>
      </c>
      <c r="B502" s="1264"/>
      <c r="C502" s="1264"/>
      <c r="D502" s="1264"/>
      <c r="E502" s="1264"/>
      <c r="F502" s="1264"/>
      <c r="G502" s="1264"/>
      <c r="H502" s="1264"/>
      <c r="I502" s="523"/>
      <c r="J502" s="342"/>
    </row>
    <row r="503" spans="1:10" s="334" customFormat="1" ht="17.100000000000001" customHeight="1" x14ac:dyDescent="0.25">
      <c r="A503" s="1225" t="s">
        <v>182</v>
      </c>
      <c r="B503" s="1225" t="s">
        <v>3</v>
      </c>
      <c r="C503" s="1225" t="s">
        <v>4</v>
      </c>
      <c r="D503" s="834" t="s">
        <v>5</v>
      </c>
      <c r="E503" s="68" t="s">
        <v>6</v>
      </c>
      <c r="F503" s="833" t="s">
        <v>7</v>
      </c>
      <c r="G503" s="833" t="s">
        <v>8</v>
      </c>
      <c r="H503" s="68" t="s">
        <v>9</v>
      </c>
      <c r="I503" s="523"/>
      <c r="J503" s="342"/>
    </row>
    <row r="504" spans="1:10" s="334" customFormat="1" ht="17.100000000000001" customHeight="1" x14ac:dyDescent="0.25">
      <c r="A504" s="1230"/>
      <c r="B504" s="1230"/>
      <c r="C504" s="1230"/>
      <c r="D504" s="835" t="s">
        <v>78</v>
      </c>
      <c r="E504" s="835" t="s">
        <v>79</v>
      </c>
      <c r="F504" s="836" t="s">
        <v>80</v>
      </c>
      <c r="G504" s="836" t="s">
        <v>80</v>
      </c>
      <c r="H504" s="69" t="s">
        <v>13</v>
      </c>
      <c r="I504" s="523"/>
      <c r="J504" s="342"/>
    </row>
    <row r="505" spans="1:10" s="334" customFormat="1" ht="17.100000000000001" customHeight="1" x14ac:dyDescent="0.25">
      <c r="A505" s="891">
        <v>1</v>
      </c>
      <c r="B505" s="320" t="s">
        <v>54</v>
      </c>
      <c r="C505" s="517">
        <f>'Office Minor'!C766</f>
        <v>0</v>
      </c>
      <c r="D505" s="517">
        <f>'Office Minor'!D766</f>
        <v>0</v>
      </c>
      <c r="E505" s="517">
        <f>'Office Minor'!E766</f>
        <v>3622500</v>
      </c>
      <c r="F505" s="517">
        <f>'Office Minor'!F766</f>
        <v>905625000</v>
      </c>
      <c r="G505" s="517">
        <f>'Office Minor'!G766</f>
        <v>143446433</v>
      </c>
      <c r="H505" s="517">
        <f>'Office Minor'!H766</f>
        <v>240</v>
      </c>
      <c r="I505" s="523"/>
      <c r="J505" s="342">
        <f>F505/E505</f>
        <v>250</v>
      </c>
    </row>
    <row r="506" spans="1:10" s="334" customFormat="1" ht="17.100000000000001" customHeight="1" x14ac:dyDescent="0.25">
      <c r="A506" s="891">
        <v>2</v>
      </c>
      <c r="B506" s="317" t="s">
        <v>31</v>
      </c>
      <c r="C506" s="517">
        <f>'Office Minor'!C767</f>
        <v>8</v>
      </c>
      <c r="D506" s="517">
        <f>'Office Minor'!D767</f>
        <v>670.38</v>
      </c>
      <c r="E506" s="517">
        <f>'Office Minor'!E767</f>
        <v>1153008</v>
      </c>
      <c r="F506" s="517">
        <f>'Office Minor'!F767</f>
        <v>864756645</v>
      </c>
      <c r="G506" s="517">
        <f>'Office Minor'!G767</f>
        <v>146415643</v>
      </c>
      <c r="H506" s="517">
        <f>'Office Minor'!H767</f>
        <v>250</v>
      </c>
      <c r="I506" s="523"/>
      <c r="J506" s="342">
        <f>F506/E506</f>
        <v>750.00055940635275</v>
      </c>
    </row>
    <row r="507" spans="1:10" s="334" customFormat="1" ht="17.100000000000001" customHeight="1" x14ac:dyDescent="0.25">
      <c r="A507" s="316"/>
      <c r="B507" s="320" t="s">
        <v>75</v>
      </c>
      <c r="C507" s="517"/>
      <c r="D507" s="517"/>
      <c r="E507" s="517"/>
      <c r="F507" s="517"/>
      <c r="G507" s="517">
        <f>'Office Minor'!G768</f>
        <v>559964</v>
      </c>
      <c r="H507" s="517"/>
      <c r="I507" s="523"/>
      <c r="J507" s="342"/>
    </row>
    <row r="508" spans="1:10" s="334" customFormat="1" ht="17.100000000000001" customHeight="1" x14ac:dyDescent="0.25">
      <c r="A508" s="316"/>
      <c r="B508" s="320" t="s">
        <v>49</v>
      </c>
      <c r="C508" s="517"/>
      <c r="D508" s="517"/>
      <c r="E508" s="517"/>
      <c r="F508" s="517"/>
      <c r="G508" s="517">
        <f>'Office Minor'!G769</f>
        <v>31277423</v>
      </c>
      <c r="H508" s="517"/>
      <c r="I508" s="523"/>
      <c r="J508" s="342"/>
    </row>
    <row r="509" spans="1:10" s="334" customFormat="1" ht="17.100000000000001" customHeight="1" x14ac:dyDescent="0.25">
      <c r="A509" s="1231" t="s">
        <v>50</v>
      </c>
      <c r="B509" s="1232"/>
      <c r="C509" s="499">
        <f t="shared" ref="C509:H509" si="108">SUM(C505:C508)</f>
        <v>8</v>
      </c>
      <c r="D509" s="499">
        <f t="shared" si="108"/>
        <v>670.38</v>
      </c>
      <c r="E509" s="499">
        <f t="shared" si="108"/>
        <v>4775508</v>
      </c>
      <c r="F509" s="499">
        <f t="shared" si="108"/>
        <v>1770381645</v>
      </c>
      <c r="G509" s="499">
        <f t="shared" si="108"/>
        <v>321699463</v>
      </c>
      <c r="H509" s="499">
        <f t="shared" si="108"/>
        <v>490</v>
      </c>
      <c r="I509" s="524">
        <f>G509</f>
        <v>321699463</v>
      </c>
      <c r="J509" s="342"/>
    </row>
    <row r="510" spans="1:10" s="334" customFormat="1" ht="17.100000000000001" customHeight="1" x14ac:dyDescent="0.25">
      <c r="A510" s="513"/>
      <c r="B510" s="513"/>
      <c r="C510" s="513"/>
      <c r="D510" s="513"/>
      <c r="E510" s="513"/>
      <c r="F510" s="513"/>
      <c r="G510" s="513"/>
      <c r="H510" s="513"/>
      <c r="I510" s="523"/>
      <c r="J510" s="342"/>
    </row>
    <row r="511" spans="1:10" s="334" customFormat="1" ht="17.100000000000001" customHeight="1" x14ac:dyDescent="0.25">
      <c r="A511" s="1264" t="s">
        <v>264</v>
      </c>
      <c r="B511" s="1264"/>
      <c r="C511" s="1264"/>
      <c r="D511" s="1264"/>
      <c r="E511" s="1264"/>
      <c r="F511" s="1264"/>
      <c r="G511" s="1264"/>
      <c r="H511" s="1264"/>
      <c r="I511" s="523"/>
      <c r="J511" s="342"/>
    </row>
    <row r="512" spans="1:10" s="334" customFormat="1" ht="17.100000000000001" customHeight="1" x14ac:dyDescent="0.25">
      <c r="A512" s="1225" t="s">
        <v>182</v>
      </c>
      <c r="B512" s="1225" t="s">
        <v>3</v>
      </c>
      <c r="C512" s="1225" t="s">
        <v>4</v>
      </c>
      <c r="D512" s="834" t="s">
        <v>5</v>
      </c>
      <c r="E512" s="68" t="s">
        <v>6</v>
      </c>
      <c r="F512" s="833" t="s">
        <v>7</v>
      </c>
      <c r="G512" s="833" t="s">
        <v>8</v>
      </c>
      <c r="H512" s="68" t="s">
        <v>9</v>
      </c>
      <c r="I512" s="524"/>
      <c r="J512" s="342"/>
    </row>
    <row r="513" spans="1:10" s="334" customFormat="1" ht="17.100000000000001" customHeight="1" x14ac:dyDescent="0.25">
      <c r="A513" s="1230"/>
      <c r="B513" s="1230"/>
      <c r="C513" s="1245"/>
      <c r="D513" s="864" t="s">
        <v>78</v>
      </c>
      <c r="E513" s="864" t="s">
        <v>79</v>
      </c>
      <c r="F513" s="865" t="s">
        <v>80</v>
      </c>
      <c r="G513" s="865" t="s">
        <v>80</v>
      </c>
      <c r="H513" s="75" t="s">
        <v>13</v>
      </c>
      <c r="I513" s="523"/>
      <c r="J513" s="342"/>
    </row>
    <row r="514" spans="1:10" s="334" customFormat="1" ht="17.100000000000001" customHeight="1" x14ac:dyDescent="0.25">
      <c r="A514" s="891">
        <v>1</v>
      </c>
      <c r="B514" s="861" t="s">
        <v>62</v>
      </c>
      <c r="C514" s="321">
        <f>'Office Minor'!C707+'Office Minor'!C529</f>
        <v>26</v>
      </c>
      <c r="D514" s="321">
        <f>'Office Minor'!D707+'Office Minor'!D529</f>
        <v>496.7</v>
      </c>
      <c r="E514" s="321">
        <f>'Office Minor'!E707+'Office Minor'!E529</f>
        <v>304607.51</v>
      </c>
      <c r="F514" s="321">
        <f>'Office Minor'!F707+'Office Minor'!F529</f>
        <v>553821743</v>
      </c>
      <c r="G514" s="321">
        <f>'Office Minor'!G707+'Office Minor'!G529</f>
        <v>36292665</v>
      </c>
      <c r="H514" s="321">
        <f>'Office Minor'!H707+'Office Minor'!H529</f>
        <v>130</v>
      </c>
      <c r="I514" s="523"/>
      <c r="J514" s="342">
        <f>F514/E514</f>
        <v>1818.1486825456141</v>
      </c>
    </row>
    <row r="515" spans="1:10" s="334" customFormat="1" ht="17.100000000000001" customHeight="1" x14ac:dyDescent="0.25">
      <c r="A515" s="891">
        <v>2</v>
      </c>
      <c r="B515" s="320" t="s">
        <v>58</v>
      </c>
      <c r="C515" s="321">
        <f>'Office Minor'!C709+'Office Minor'!C530</f>
        <v>2</v>
      </c>
      <c r="D515" s="321">
        <f>'Office Minor'!D709+'Office Minor'!D530</f>
        <v>2.88</v>
      </c>
      <c r="E515" s="321">
        <f>'Office Minor'!E709+'Office Minor'!E530</f>
        <v>2053.2199999999998</v>
      </c>
      <c r="F515" s="321">
        <f>'Office Minor'!F709+'Office Minor'!F530</f>
        <v>4414423</v>
      </c>
      <c r="G515" s="321">
        <f>'Office Minor'!G709+'Office Minor'!G530</f>
        <v>72177</v>
      </c>
      <c r="H515" s="321">
        <f>'Office Minor'!H709+'Office Minor'!H530</f>
        <v>25</v>
      </c>
      <c r="I515" s="523"/>
      <c r="J515" s="342">
        <f t="shared" ref="J515:J527" si="109">F515/E515</f>
        <v>2150</v>
      </c>
    </row>
    <row r="516" spans="1:10" s="334" customFormat="1" ht="17.100000000000001" customHeight="1" x14ac:dyDescent="0.25">
      <c r="A516" s="891">
        <v>3</v>
      </c>
      <c r="B516" s="320" t="s">
        <v>68</v>
      </c>
      <c r="C516" s="321">
        <f>'Office Minor'!C710+'Office Minor'!C531</f>
        <v>8</v>
      </c>
      <c r="D516" s="321">
        <f>'Office Minor'!D710+'Office Minor'!D531</f>
        <v>8</v>
      </c>
      <c r="E516" s="321">
        <f>'Office Minor'!E710+'Office Minor'!E531</f>
        <v>12006</v>
      </c>
      <c r="F516" s="321">
        <f>'Office Minor'!F710+'Office Minor'!F531</f>
        <v>3001500</v>
      </c>
      <c r="G516" s="321">
        <f>'Office Minor'!G710+'Office Minor'!G531</f>
        <v>286331</v>
      </c>
      <c r="H516" s="321">
        <f>'Office Minor'!H710+'Office Minor'!H531</f>
        <v>10</v>
      </c>
      <c r="I516" s="523"/>
      <c r="J516" s="342">
        <f t="shared" si="109"/>
        <v>250</v>
      </c>
    </row>
    <row r="517" spans="1:10" s="334" customFormat="1" ht="17.100000000000001" customHeight="1" x14ac:dyDescent="0.25">
      <c r="A517" s="891">
        <v>4</v>
      </c>
      <c r="B517" s="320" t="s">
        <v>63</v>
      </c>
      <c r="C517" s="321">
        <f>'Office Minor'!C712+'Office Minor'!C532</f>
        <v>521</v>
      </c>
      <c r="D517" s="321">
        <f>'Office Minor'!D712+'Office Minor'!D532</f>
        <v>649.35</v>
      </c>
      <c r="E517" s="321">
        <f>'Office Minor'!E712+'Office Minor'!E532</f>
        <v>20017232</v>
      </c>
      <c r="F517" s="321">
        <f>'Office Minor'!F712+'Office Minor'!F532</f>
        <v>3780727263.5105352</v>
      </c>
      <c r="G517" s="321">
        <f>'Office Minor'!G712+'Office Minor'!G532</f>
        <v>932111464</v>
      </c>
      <c r="H517" s="321">
        <f>'Office Minor'!H712+'Office Minor'!H532</f>
        <v>3900</v>
      </c>
      <c r="I517" s="523"/>
      <c r="J517" s="342">
        <f t="shared" si="109"/>
        <v>188.87362965621497</v>
      </c>
    </row>
    <row r="518" spans="1:10" s="334" customFormat="1" ht="17.100000000000001" customHeight="1" x14ac:dyDescent="0.25">
      <c r="A518" s="891">
        <v>5</v>
      </c>
      <c r="B518" s="320" t="s">
        <v>59</v>
      </c>
      <c r="C518" s="321">
        <f>'Office Minor'!C713+'Office Minor'!C533</f>
        <v>0</v>
      </c>
      <c r="D518" s="321">
        <f>'Office Minor'!D713+'Office Minor'!D533</f>
        <v>0</v>
      </c>
      <c r="E518" s="321">
        <f>'Office Minor'!E713+'Office Minor'!E533</f>
        <v>0</v>
      </c>
      <c r="F518" s="321">
        <f>'Office Minor'!F713+'Office Minor'!F533</f>
        <v>0</v>
      </c>
      <c r="G518" s="321">
        <f>'Office Minor'!G713+'Office Minor'!G533</f>
        <v>0</v>
      </c>
      <c r="H518" s="321">
        <f>'Office Minor'!H713+'Office Minor'!H533</f>
        <v>0</v>
      </c>
      <c r="I518" s="523"/>
      <c r="J518" s="342" t="e">
        <f t="shared" si="109"/>
        <v>#DIV/0!</v>
      </c>
    </row>
    <row r="519" spans="1:10" s="334" customFormat="1" ht="17.100000000000001" customHeight="1" x14ac:dyDescent="0.25">
      <c r="A519" s="891">
        <v>6</v>
      </c>
      <c r="B519" s="320" t="s">
        <v>54</v>
      </c>
      <c r="C519" s="321">
        <f>'Office Minor'!C714+'Office Minor'!C534</f>
        <v>0</v>
      </c>
      <c r="D519" s="321">
        <f>'Office Minor'!D714+'Office Minor'!D534</f>
        <v>0</v>
      </c>
      <c r="E519" s="321">
        <f>'Office Minor'!E714+'Office Minor'!E534</f>
        <v>772647.83870967745</v>
      </c>
      <c r="F519" s="321">
        <f>'Office Minor'!F714+'Office Minor'!F534</f>
        <v>162256046.12903225</v>
      </c>
      <c r="G519" s="321">
        <f>'Office Minor'!G714+'Office Minor'!G534</f>
        <v>23952083</v>
      </c>
      <c r="H519" s="321">
        <f>'Office Minor'!H714+'Office Minor'!H534</f>
        <v>250</v>
      </c>
      <c r="I519" s="523"/>
      <c r="J519" s="342">
        <f t="shared" si="109"/>
        <v>210</v>
      </c>
    </row>
    <row r="520" spans="1:10" s="334" customFormat="1" ht="17.100000000000001" customHeight="1" x14ac:dyDescent="0.25">
      <c r="A520" s="891">
        <v>7</v>
      </c>
      <c r="B520" s="320" t="s">
        <v>27</v>
      </c>
      <c r="C520" s="321">
        <f>'Office Minor'!C535</f>
        <v>1</v>
      </c>
      <c r="D520" s="321">
        <f>'Office Minor'!D535</f>
        <v>1</v>
      </c>
      <c r="E520" s="321">
        <f>'Office Minor'!E535</f>
        <v>303.5</v>
      </c>
      <c r="F520" s="321">
        <f>'Office Minor'!F535</f>
        <v>515900</v>
      </c>
      <c r="G520" s="321">
        <f>'Office Minor'!G535</f>
        <v>12481053</v>
      </c>
      <c r="H520" s="321">
        <f>'Office Minor'!H535</f>
        <v>50</v>
      </c>
      <c r="I520" s="523"/>
      <c r="J520" s="342">
        <f t="shared" si="109"/>
        <v>1699.8352553542011</v>
      </c>
    </row>
    <row r="521" spans="1:10" s="334" customFormat="1" ht="17.100000000000001" customHeight="1" x14ac:dyDescent="0.25">
      <c r="A521" s="891">
        <v>8</v>
      </c>
      <c r="B521" s="320" t="s">
        <v>206</v>
      </c>
      <c r="C521" s="321">
        <f>'Office Minor'!C715</f>
        <v>2</v>
      </c>
      <c r="D521" s="321">
        <f>'Office Minor'!D715</f>
        <v>8</v>
      </c>
      <c r="E521" s="321">
        <f>'Office Minor'!E715</f>
        <v>0</v>
      </c>
      <c r="F521" s="321">
        <f>'Office Minor'!F715</f>
        <v>0</v>
      </c>
      <c r="G521" s="321">
        <f>'Office Minor'!G715</f>
        <v>0</v>
      </c>
      <c r="H521" s="321">
        <f>'Office Minor'!H715</f>
        <v>0</v>
      </c>
      <c r="I521" s="523"/>
      <c r="J521" s="342" t="e">
        <f t="shared" si="109"/>
        <v>#DIV/0!</v>
      </c>
    </row>
    <row r="522" spans="1:10" s="334" customFormat="1" ht="17.100000000000001" customHeight="1" x14ac:dyDescent="0.25">
      <c r="A522" s="891">
        <v>9</v>
      </c>
      <c r="B522" s="320" t="s">
        <v>25</v>
      </c>
      <c r="C522" s="321">
        <f>'Office Minor'!C716+'Office Minor'!C536</f>
        <v>6</v>
      </c>
      <c r="D522" s="321">
        <f>'Office Minor'!D716+'Office Minor'!D536</f>
        <v>97.51</v>
      </c>
      <c r="E522" s="321">
        <f>'Office Minor'!E716+'Office Minor'!E536</f>
        <v>4263</v>
      </c>
      <c r="F522" s="321">
        <f>'Office Minor'!F716+'Office Minor'!F536</f>
        <v>3623823</v>
      </c>
      <c r="G522" s="321">
        <f>'Office Minor'!G716+'Office Minor'!G536</f>
        <v>3235557</v>
      </c>
      <c r="H522" s="321">
        <f>'Office Minor'!H716+'Office Minor'!H536</f>
        <v>10</v>
      </c>
      <c r="I522" s="523"/>
      <c r="J522" s="342">
        <f t="shared" si="109"/>
        <v>850.06403940886696</v>
      </c>
    </row>
    <row r="523" spans="1:10" s="334" customFormat="1" ht="17.100000000000001" customHeight="1" x14ac:dyDescent="0.25">
      <c r="A523" s="891">
        <v>10</v>
      </c>
      <c r="B523" s="320" t="str">
        <f>'Office Minor'!B717</f>
        <v>China Clay</v>
      </c>
      <c r="C523" s="320">
        <f>'Office Minor'!C717</f>
        <v>0</v>
      </c>
      <c r="D523" s="320">
        <f>'Office Minor'!D717</f>
        <v>0</v>
      </c>
      <c r="E523" s="320">
        <f>'Office Minor'!E717</f>
        <v>0</v>
      </c>
      <c r="F523" s="320">
        <f>'Office Minor'!F717</f>
        <v>0</v>
      </c>
      <c r="G523" s="320">
        <f>'Office Minor'!G717</f>
        <v>0</v>
      </c>
      <c r="H523" s="320">
        <f>'Office Minor'!H717</f>
        <v>0</v>
      </c>
      <c r="I523" s="523"/>
      <c r="J523" s="342"/>
    </row>
    <row r="524" spans="1:10" s="334" customFormat="1" ht="17.100000000000001" customHeight="1" x14ac:dyDescent="0.25">
      <c r="A524" s="891">
        <v>11</v>
      </c>
      <c r="B524" s="320" t="s">
        <v>41</v>
      </c>
      <c r="C524" s="321">
        <f>'Office Minor'!C718+'Office Minor'!C538</f>
        <v>76</v>
      </c>
      <c r="D524" s="321">
        <f>'Office Minor'!D718+'Office Minor'!D538</f>
        <v>482.53</v>
      </c>
      <c r="E524" s="321">
        <f>'Office Minor'!E718+'Office Minor'!E538</f>
        <v>1969945</v>
      </c>
      <c r="F524" s="321">
        <f>'Office Minor'!F718+'Office Minor'!F538</f>
        <v>947606629.00000012</v>
      </c>
      <c r="G524" s="321">
        <f>'Office Minor'!G718+'Office Minor'!G538</f>
        <v>132490843</v>
      </c>
      <c r="H524" s="321">
        <f>'Office Minor'!H718+'Office Minor'!H538</f>
        <v>200</v>
      </c>
      <c r="I524" s="523"/>
      <c r="J524" s="342">
        <f t="shared" si="109"/>
        <v>481.03202322907498</v>
      </c>
    </row>
    <row r="525" spans="1:10" s="334" customFormat="1" ht="17.100000000000001" customHeight="1" x14ac:dyDescent="0.25">
      <c r="A525" s="891">
        <v>12</v>
      </c>
      <c r="B525" s="320" t="s">
        <v>40</v>
      </c>
      <c r="C525" s="321">
        <f>'Office Minor'!C537+'Office Minor'!C711</f>
        <v>9</v>
      </c>
      <c r="D525" s="321">
        <f>'Office Minor'!D537+'Office Minor'!D711</f>
        <v>40.44</v>
      </c>
      <c r="E525" s="321">
        <f>'Office Minor'!E537+'Office Minor'!E711</f>
        <v>322153</v>
      </c>
      <c r="F525" s="321">
        <f>'Office Minor'!F537+'Office Minor'!F711</f>
        <v>193259580</v>
      </c>
      <c r="G525" s="321">
        <f>'Office Minor'!G537+'Office Minor'!G711</f>
        <v>3403234</v>
      </c>
      <c r="H525" s="321">
        <f>'Office Minor'!H537+'Office Minor'!H711</f>
        <v>120</v>
      </c>
      <c r="I525" s="523"/>
      <c r="J525" s="342">
        <f t="shared" si="109"/>
        <v>599.89998541065893</v>
      </c>
    </row>
    <row r="526" spans="1:10" s="334" customFormat="1" ht="17.100000000000001" customHeight="1" x14ac:dyDescent="0.25">
      <c r="A526" s="891">
        <v>13</v>
      </c>
      <c r="B526" s="320" t="s">
        <v>46</v>
      </c>
      <c r="C526" s="321">
        <f>'Office Minor'!C719</f>
        <v>2</v>
      </c>
      <c r="D526" s="321">
        <f>'Office Minor'!D719</f>
        <v>10</v>
      </c>
      <c r="E526" s="321">
        <f>'Office Minor'!E719</f>
        <v>0</v>
      </c>
      <c r="F526" s="321">
        <f>'Office Minor'!F719</f>
        <v>0</v>
      </c>
      <c r="G526" s="321">
        <f>'Office Minor'!G719</f>
        <v>0</v>
      </c>
      <c r="H526" s="321">
        <f>'Office Minor'!H719</f>
        <v>0</v>
      </c>
      <c r="I526" s="523"/>
      <c r="J526" s="342" t="e">
        <f t="shared" si="109"/>
        <v>#DIV/0!</v>
      </c>
    </row>
    <row r="527" spans="1:10" s="334" customFormat="1" ht="17.100000000000001" customHeight="1" x14ac:dyDescent="0.25">
      <c r="A527" s="891">
        <v>14</v>
      </c>
      <c r="B527" s="320" t="s">
        <v>164</v>
      </c>
      <c r="C527" s="321">
        <f>'Office Minor'!C720</f>
        <v>2</v>
      </c>
      <c r="D527" s="321">
        <f>'Office Minor'!D720</f>
        <v>8.1</v>
      </c>
      <c r="E527" s="321">
        <f>'Office Minor'!E720</f>
        <v>0</v>
      </c>
      <c r="F527" s="321">
        <f>'Office Minor'!F720</f>
        <v>0</v>
      </c>
      <c r="G527" s="321">
        <f>'Office Minor'!G720</f>
        <v>0</v>
      </c>
      <c r="H527" s="321">
        <f>'Office Minor'!H720</f>
        <v>0</v>
      </c>
      <c r="I527" s="523"/>
      <c r="J527" s="342" t="e">
        <f t="shared" si="109"/>
        <v>#DIV/0!</v>
      </c>
    </row>
    <row r="528" spans="1:10" s="334" customFormat="1" ht="17.100000000000001" customHeight="1" x14ac:dyDescent="0.25">
      <c r="A528" s="891">
        <v>15</v>
      </c>
      <c r="B528" s="320" t="str">
        <f>'Office Minor'!B539</f>
        <v>Silica Sand</v>
      </c>
      <c r="C528" s="320">
        <f>'Office Minor'!C539+'Office Minor'!C721</f>
        <v>13</v>
      </c>
      <c r="D528" s="320">
        <f>'Office Minor'!D539+'Office Minor'!D721</f>
        <v>113.84</v>
      </c>
      <c r="E528" s="320">
        <f>'Office Minor'!E539+'Office Minor'!E721</f>
        <v>723524</v>
      </c>
      <c r="F528" s="320">
        <f>'Office Minor'!F539+'Office Minor'!F721</f>
        <v>390703294.00000006</v>
      </c>
      <c r="G528" s="320">
        <f>'Office Minor'!G539+'Office Minor'!G721</f>
        <v>7330928</v>
      </c>
      <c r="H528" s="320">
        <f>'Office Minor'!H539+'Office Minor'!H721</f>
        <v>115</v>
      </c>
      <c r="I528" s="523"/>
      <c r="J528" s="342"/>
    </row>
    <row r="529" spans="1:10" s="334" customFormat="1" ht="17.100000000000001" customHeight="1" x14ac:dyDescent="0.25">
      <c r="A529" s="891"/>
      <c r="B529" s="320" t="s">
        <v>75</v>
      </c>
      <c r="C529" s="321"/>
      <c r="D529" s="321"/>
      <c r="E529" s="321"/>
      <c r="F529" s="321"/>
      <c r="G529" s="321">
        <f>'Office Minor'!G722+'Office Minor'!G540</f>
        <v>14797100</v>
      </c>
      <c r="H529" s="321">
        <f>'Office Minor'!H722+'Office Minor'!H540</f>
        <v>0</v>
      </c>
      <c r="I529" s="523"/>
      <c r="J529" s="342"/>
    </row>
    <row r="530" spans="1:10" s="334" customFormat="1" ht="17.100000000000001" customHeight="1" x14ac:dyDescent="0.25">
      <c r="A530" s="891"/>
      <c r="B530" s="320" t="s">
        <v>49</v>
      </c>
      <c r="C530" s="321"/>
      <c r="D530" s="321"/>
      <c r="E530" s="321"/>
      <c r="F530" s="321"/>
      <c r="G530" s="321">
        <f>'Office Minor'!G723+'Office Minor'!G541</f>
        <v>137708573</v>
      </c>
      <c r="H530" s="321">
        <f>'Office Minor'!H723+'Office Minor'!H541</f>
        <v>0</v>
      </c>
      <c r="I530" s="524">
        <f>G548+Distt.Major!G170</f>
        <v>1653948635</v>
      </c>
      <c r="J530" s="342"/>
    </row>
    <row r="531" spans="1:10" s="334" customFormat="1" ht="17.100000000000001" customHeight="1" x14ac:dyDescent="0.25">
      <c r="A531" s="1231" t="s">
        <v>50</v>
      </c>
      <c r="B531" s="1232"/>
      <c r="C531" s="497">
        <f t="shared" ref="C531:H531" si="110">SUM(C514:C530)</f>
        <v>668</v>
      </c>
      <c r="D531" s="498">
        <f t="shared" si="110"/>
        <v>1918.35</v>
      </c>
      <c r="E531" s="497">
        <f t="shared" si="110"/>
        <v>24128735.068709679</v>
      </c>
      <c r="F531" s="497">
        <f t="shared" si="110"/>
        <v>6039930201.6395674</v>
      </c>
      <c r="G531" s="497">
        <f t="shared" si="110"/>
        <v>1304162008</v>
      </c>
      <c r="H531" s="497">
        <f t="shared" si="110"/>
        <v>4810</v>
      </c>
      <c r="I531" s="523"/>
      <c r="J531" s="342"/>
    </row>
    <row r="532" spans="1:10" s="334" customFormat="1" ht="17.100000000000001" customHeight="1" x14ac:dyDescent="0.25">
      <c r="A532" s="513"/>
      <c r="B532" s="513"/>
      <c r="C532" s="513"/>
      <c r="D532" s="513"/>
      <c r="E532" s="513"/>
      <c r="F532" s="513"/>
      <c r="G532" s="513"/>
      <c r="H532" s="513"/>
      <c r="I532" s="523"/>
      <c r="J532" s="342"/>
    </row>
    <row r="533" spans="1:10" s="334" customFormat="1" ht="17.100000000000001" customHeight="1" x14ac:dyDescent="0.25">
      <c r="A533" s="1264" t="s">
        <v>265</v>
      </c>
      <c r="B533" s="1264"/>
      <c r="C533" s="1264"/>
      <c r="D533" s="1264"/>
      <c r="E533" s="1264"/>
      <c r="F533" s="1264"/>
      <c r="G533" s="1264"/>
      <c r="H533" s="1264"/>
      <c r="I533" s="523"/>
      <c r="J533" s="342"/>
    </row>
    <row r="534" spans="1:10" s="334" customFormat="1" ht="17.100000000000001" customHeight="1" x14ac:dyDescent="0.25">
      <c r="A534" s="1225" t="s">
        <v>182</v>
      </c>
      <c r="B534" s="1225" t="s">
        <v>3</v>
      </c>
      <c r="C534" s="1225" t="s">
        <v>4</v>
      </c>
      <c r="D534" s="834" t="s">
        <v>5</v>
      </c>
      <c r="E534" s="68" t="s">
        <v>6</v>
      </c>
      <c r="F534" s="833" t="s">
        <v>7</v>
      </c>
      <c r="G534" s="833" t="s">
        <v>8</v>
      </c>
      <c r="H534" s="68" t="s">
        <v>9</v>
      </c>
      <c r="I534" s="523"/>
      <c r="J534" s="342"/>
    </row>
    <row r="535" spans="1:10" s="334" customFormat="1" ht="17.100000000000001" customHeight="1" x14ac:dyDescent="0.25">
      <c r="A535" s="1230"/>
      <c r="B535" s="1230"/>
      <c r="C535" s="1230"/>
      <c r="D535" s="835" t="s">
        <v>78</v>
      </c>
      <c r="E535" s="835" t="s">
        <v>79</v>
      </c>
      <c r="F535" s="836" t="s">
        <v>80</v>
      </c>
      <c r="G535" s="836" t="s">
        <v>80</v>
      </c>
      <c r="H535" s="69" t="s">
        <v>13</v>
      </c>
      <c r="I535" s="523"/>
      <c r="J535" s="342"/>
    </row>
    <row r="536" spans="1:10" s="334" customFormat="1" ht="17.100000000000001" customHeight="1" x14ac:dyDescent="0.25">
      <c r="A536" s="891">
        <v>1</v>
      </c>
      <c r="B536" s="320" t="s">
        <v>62</v>
      </c>
      <c r="C536" s="325">
        <f>'Office Minor'!C730</f>
        <v>80</v>
      </c>
      <c r="D536" s="325">
        <f>'Office Minor'!D730</f>
        <v>82.05</v>
      </c>
      <c r="E536" s="325">
        <f>'Office Minor'!E730</f>
        <v>737699</v>
      </c>
      <c r="F536" s="325">
        <f>'Office Minor'!F730</f>
        <v>1364744926</v>
      </c>
      <c r="G536" s="325">
        <f>'Office Minor'!G730</f>
        <v>105644461</v>
      </c>
      <c r="H536" s="325">
        <f>'Office Minor'!H730</f>
        <v>1350</v>
      </c>
      <c r="I536" s="523"/>
      <c r="J536" s="342">
        <f>F536/E536</f>
        <v>1850.00240748598</v>
      </c>
    </row>
    <row r="537" spans="1:10" s="334" customFormat="1" ht="17.100000000000001" customHeight="1" x14ac:dyDescent="0.25">
      <c r="A537" s="316">
        <f>+A536+1</f>
        <v>2</v>
      </c>
      <c r="B537" s="320" t="s">
        <v>58</v>
      </c>
      <c r="C537" s="325">
        <f>'Office Minor'!C731</f>
        <v>186</v>
      </c>
      <c r="D537" s="325">
        <f>'Office Minor'!D731</f>
        <v>343.71</v>
      </c>
      <c r="E537" s="325">
        <f>'Office Minor'!E731</f>
        <v>786468</v>
      </c>
      <c r="F537" s="325">
        <f>'Office Minor'!F731</f>
        <v>1651584165</v>
      </c>
      <c r="G537" s="325">
        <f>'Office Minor'!G731</f>
        <v>306961889</v>
      </c>
      <c r="H537" s="325">
        <f>'Office Minor'!H731</f>
        <v>1580</v>
      </c>
      <c r="I537" s="523"/>
      <c r="J537" s="342">
        <f t="shared" ref="J537:J543" si="111">F537/E537</f>
        <v>2100.001735607806</v>
      </c>
    </row>
    <row r="538" spans="1:10" s="334" customFormat="1" ht="17.100000000000001" customHeight="1" x14ac:dyDescent="0.25">
      <c r="A538" s="316">
        <f>+A537+1</f>
        <v>3</v>
      </c>
      <c r="B538" s="320" t="s">
        <v>207</v>
      </c>
      <c r="C538" s="325">
        <f>'Office Minor'!C732</f>
        <v>5</v>
      </c>
      <c r="D538" s="325">
        <f>'Office Minor'!D732</f>
        <v>8.2200000000000006</v>
      </c>
      <c r="E538" s="325">
        <f>'Office Minor'!E732</f>
        <v>6320</v>
      </c>
      <c r="F538" s="325">
        <f>'Office Minor'!F732</f>
        <v>2212343</v>
      </c>
      <c r="G538" s="325">
        <f>'Office Minor'!G732</f>
        <v>644740</v>
      </c>
      <c r="H538" s="325">
        <f>'Office Minor'!H732</f>
        <v>220</v>
      </c>
      <c r="I538" s="523"/>
      <c r="J538" s="342">
        <f t="shared" si="111"/>
        <v>350.05427215189872</v>
      </c>
    </row>
    <row r="539" spans="1:10" s="334" customFormat="1" ht="17.100000000000001" customHeight="1" x14ac:dyDescent="0.25">
      <c r="A539" s="316">
        <f>+A538+1</f>
        <v>4</v>
      </c>
      <c r="B539" s="320" t="s">
        <v>208</v>
      </c>
      <c r="C539" s="325">
        <f>'Office Minor'!C733</f>
        <v>25</v>
      </c>
      <c r="D539" s="325">
        <f>'Office Minor'!D733</f>
        <v>23.82</v>
      </c>
      <c r="E539" s="325">
        <f>'Office Minor'!E733</f>
        <v>41212</v>
      </c>
      <c r="F539" s="325">
        <f>'Office Minor'!F733</f>
        <v>45333251</v>
      </c>
      <c r="G539" s="325">
        <f>'Office Minor'!G733</f>
        <v>15588610</v>
      </c>
      <c r="H539" s="325">
        <f>'Office Minor'!H733</f>
        <v>300</v>
      </c>
      <c r="I539" s="523"/>
      <c r="J539" s="342">
        <f t="shared" si="111"/>
        <v>1100.0012375036397</v>
      </c>
    </row>
    <row r="540" spans="1:10" s="334" customFormat="1" ht="17.100000000000001" customHeight="1" x14ac:dyDescent="0.25">
      <c r="A540" s="316">
        <f>+A539+1</f>
        <v>5</v>
      </c>
      <c r="B540" s="320" t="s">
        <v>189</v>
      </c>
      <c r="C540" s="325">
        <f>'Office Minor'!C734</f>
        <v>119</v>
      </c>
      <c r="D540" s="325">
        <f>'Office Minor'!D734</f>
        <v>130.25</v>
      </c>
      <c r="E540" s="325">
        <f>'Office Minor'!E734</f>
        <v>1235252</v>
      </c>
      <c r="F540" s="325">
        <f>'Office Minor'!F734</f>
        <v>247050510</v>
      </c>
      <c r="G540" s="325">
        <f>'Office Minor'!G734</f>
        <v>40788141</v>
      </c>
      <c r="H540" s="325">
        <f>'Office Minor'!H734</f>
        <v>762</v>
      </c>
      <c r="I540" s="523"/>
      <c r="J540" s="342">
        <f t="shared" si="111"/>
        <v>200.00008905065525</v>
      </c>
    </row>
    <row r="541" spans="1:10" s="334" customFormat="1" ht="17.100000000000001" customHeight="1" x14ac:dyDescent="0.25">
      <c r="A541" s="316">
        <v>6</v>
      </c>
      <c r="B541" s="320" t="s">
        <v>59</v>
      </c>
      <c r="C541" s="325">
        <f>'Office Minor'!C735</f>
        <v>1</v>
      </c>
      <c r="D541" s="325">
        <f>'Office Minor'!D735</f>
        <v>2526.88</v>
      </c>
      <c r="E541" s="325">
        <f>'Office Minor'!E735</f>
        <v>674152</v>
      </c>
      <c r="F541" s="325">
        <f>'Office Minor'!F735</f>
        <v>303368279</v>
      </c>
      <c r="G541" s="325">
        <f>'Office Minor'!G735</f>
        <v>107043126</v>
      </c>
      <c r="H541" s="325">
        <f>'Office Minor'!H735</f>
        <v>550</v>
      </c>
      <c r="I541" s="523"/>
      <c r="J541" s="342">
        <f t="shared" si="111"/>
        <v>449.99982051525473</v>
      </c>
    </row>
    <row r="542" spans="1:10" s="334" customFormat="1" ht="17.100000000000001" customHeight="1" x14ac:dyDescent="0.25">
      <c r="A542" s="316">
        <v>7</v>
      </c>
      <c r="B542" s="319" t="s">
        <v>25</v>
      </c>
      <c r="C542" s="325">
        <f>'Office Minor'!C736</f>
        <v>6</v>
      </c>
      <c r="D542" s="325">
        <f>'Office Minor'!D736</f>
        <v>196.45</v>
      </c>
      <c r="E542" s="325">
        <f>'Office Minor'!E736</f>
        <v>8086</v>
      </c>
      <c r="F542" s="325">
        <f>'Office Minor'!F736</f>
        <v>6873092</v>
      </c>
      <c r="G542" s="325">
        <f>'Office Minor'!G736</f>
        <v>2614327</v>
      </c>
      <c r="H542" s="325">
        <f>'Office Minor'!H736</f>
        <v>150</v>
      </c>
      <c r="I542" s="523"/>
      <c r="J542" s="342">
        <f t="shared" si="111"/>
        <v>849.99901063566654</v>
      </c>
    </row>
    <row r="543" spans="1:10" s="334" customFormat="1" ht="17.100000000000001" customHeight="1" x14ac:dyDescent="0.25">
      <c r="A543" s="316">
        <v>8</v>
      </c>
      <c r="B543" s="319" t="s">
        <v>170</v>
      </c>
      <c r="C543" s="325">
        <f>'Office Minor'!C737</f>
        <v>19</v>
      </c>
      <c r="D543" s="325">
        <f>'Office Minor'!D737</f>
        <v>80.180000000000007</v>
      </c>
      <c r="E543" s="325">
        <f>'Office Minor'!E737</f>
        <v>203910</v>
      </c>
      <c r="F543" s="325">
        <f>'Office Minor'!F737</f>
        <v>132541858</v>
      </c>
      <c r="G543" s="325">
        <f>'Office Minor'!G737</f>
        <v>11648349</v>
      </c>
      <c r="H543" s="325">
        <f>'Office Minor'!H737</f>
        <v>150</v>
      </c>
      <c r="I543" s="523"/>
      <c r="J543" s="342">
        <f t="shared" si="111"/>
        <v>650.001755676524</v>
      </c>
    </row>
    <row r="544" spans="1:10" s="334" customFormat="1" ht="17.100000000000001" customHeight="1" x14ac:dyDescent="0.25">
      <c r="A544" s="316">
        <v>9</v>
      </c>
      <c r="B544" s="319" t="str">
        <f>'Office Minor'!B738</f>
        <v>Mitti</v>
      </c>
      <c r="C544" s="319">
        <f>'Office Minor'!C738</f>
        <v>0</v>
      </c>
      <c r="D544" s="319">
        <f>'Office Minor'!D738</f>
        <v>0</v>
      </c>
      <c r="E544" s="319">
        <f>'Office Minor'!E738</f>
        <v>13478</v>
      </c>
      <c r="F544" s="319">
        <f>'Office Minor'!F738</f>
        <v>404340</v>
      </c>
      <c r="G544" s="319">
        <f>'Office Minor'!G738</f>
        <v>338532</v>
      </c>
      <c r="H544" s="321">
        <f>'Office Minor'!H738</f>
        <v>10</v>
      </c>
      <c r="I544" s="523"/>
      <c r="J544" s="342"/>
    </row>
    <row r="545" spans="1:10" s="334" customFormat="1" ht="17.100000000000001" customHeight="1" x14ac:dyDescent="0.25">
      <c r="A545" s="316">
        <v>10</v>
      </c>
      <c r="B545" s="319" t="s">
        <v>194</v>
      </c>
      <c r="C545" s="319">
        <f>'Office Minor'!C739</f>
        <v>0</v>
      </c>
      <c r="D545" s="319">
        <f>'Office Minor'!D739</f>
        <v>0</v>
      </c>
      <c r="E545" s="319">
        <f>'Office Minor'!E739</f>
        <v>16314</v>
      </c>
      <c r="F545" s="319">
        <f>'Office Minor'!F739</f>
        <v>2936678</v>
      </c>
      <c r="G545" s="319">
        <f>'Office Minor'!G739</f>
        <v>407872</v>
      </c>
      <c r="H545" s="319">
        <f>'Office Minor'!H739</f>
        <v>10</v>
      </c>
      <c r="I545" s="523"/>
      <c r="J545" s="342"/>
    </row>
    <row r="546" spans="1:10" s="334" customFormat="1" ht="17.100000000000001" customHeight="1" x14ac:dyDescent="0.25">
      <c r="A546" s="316"/>
      <c r="B546" s="319" t="str">
        <f>'Office Minor'!B740</f>
        <v>Inc. from Govt. Deptt.</v>
      </c>
      <c r="C546" s="325">
        <f>'Office Minor'!C740</f>
        <v>0</v>
      </c>
      <c r="D546" s="325">
        <f>'Office Minor'!D740</f>
        <v>0</v>
      </c>
      <c r="E546" s="325">
        <f>'Office Minor'!E740</f>
        <v>0</v>
      </c>
      <c r="F546" s="325">
        <f>'Office Minor'!F740</f>
        <v>0</v>
      </c>
      <c r="G546" s="325">
        <f>'Office Minor'!G740</f>
        <v>27228078</v>
      </c>
      <c r="H546" s="325">
        <f>'Office Minor'!H740</f>
        <v>0</v>
      </c>
      <c r="I546" s="523"/>
      <c r="J546" s="342"/>
    </row>
    <row r="547" spans="1:10" s="334" customFormat="1" ht="17.100000000000001" customHeight="1" x14ac:dyDescent="0.25">
      <c r="A547" s="316"/>
      <c r="B547" s="319" t="str">
        <f>'Office Minor'!B741</f>
        <v>Misc. Income</v>
      </c>
      <c r="C547" s="325">
        <f>'Office Minor'!C741</f>
        <v>0</v>
      </c>
      <c r="D547" s="325">
        <f>'Office Minor'!D741</f>
        <v>0</v>
      </c>
      <c r="E547" s="325">
        <f>'Office Minor'!E741</f>
        <v>0</v>
      </c>
      <c r="F547" s="325">
        <f>'Office Minor'!F741</f>
        <v>0</v>
      </c>
      <c r="G547" s="325">
        <f>'Office Minor'!G741</f>
        <v>9122510</v>
      </c>
      <c r="H547" s="325">
        <f>'Office Minor'!H741</f>
        <v>0</v>
      </c>
      <c r="I547" s="524">
        <f>G565+Distt.Major!G176</f>
        <v>808106559</v>
      </c>
      <c r="J547" s="342"/>
    </row>
    <row r="548" spans="1:10" s="334" customFormat="1" ht="17.100000000000001" customHeight="1" x14ac:dyDescent="0.25">
      <c r="A548" s="1231" t="s">
        <v>50</v>
      </c>
      <c r="B548" s="1232"/>
      <c r="C548" s="878">
        <f t="shared" ref="C548:H548" si="112">SUM(C536:C547)</f>
        <v>441</v>
      </c>
      <c r="D548" s="889">
        <f t="shared" si="112"/>
        <v>3391.56</v>
      </c>
      <c r="E548" s="497">
        <f t="shared" si="112"/>
        <v>3722891</v>
      </c>
      <c r="F548" s="499">
        <f t="shared" si="112"/>
        <v>3757049442</v>
      </c>
      <c r="G548" s="917">
        <f t="shared" si="112"/>
        <v>628030635</v>
      </c>
      <c r="H548" s="878">
        <f t="shared" si="112"/>
        <v>5082</v>
      </c>
      <c r="I548" s="523"/>
      <c r="J548" s="342"/>
    </row>
    <row r="549" spans="1:10" s="334" customFormat="1" ht="17.100000000000001" customHeight="1" x14ac:dyDescent="0.25">
      <c r="A549" s="513"/>
      <c r="B549" s="513"/>
      <c r="C549" s="513"/>
      <c r="D549" s="513"/>
      <c r="E549" s="513"/>
      <c r="F549" s="513"/>
      <c r="G549" s="513"/>
      <c r="H549" s="513"/>
      <c r="I549" s="523"/>
      <c r="J549" s="342"/>
    </row>
    <row r="550" spans="1:10" s="334" customFormat="1" ht="17.100000000000001" customHeight="1" x14ac:dyDescent="0.25">
      <c r="A550" s="1263" t="s">
        <v>266</v>
      </c>
      <c r="B550" s="1263"/>
      <c r="C550" s="1263"/>
      <c r="D550" s="1263"/>
      <c r="E550" s="1263"/>
      <c r="F550" s="1263"/>
      <c r="G550" s="1263"/>
      <c r="H550" s="1263"/>
      <c r="I550" s="523"/>
      <c r="J550" s="342"/>
    </row>
    <row r="551" spans="1:10" s="334" customFormat="1" ht="17.100000000000001" customHeight="1" x14ac:dyDescent="0.25">
      <c r="A551" s="1225" t="s">
        <v>182</v>
      </c>
      <c r="B551" s="1225" t="s">
        <v>3</v>
      </c>
      <c r="C551" s="1225" t="s">
        <v>4</v>
      </c>
      <c r="D551" s="834" t="s">
        <v>5</v>
      </c>
      <c r="E551" s="68" t="s">
        <v>6</v>
      </c>
      <c r="F551" s="833" t="s">
        <v>7</v>
      </c>
      <c r="G551" s="833" t="s">
        <v>8</v>
      </c>
      <c r="H551" s="68" t="s">
        <v>9</v>
      </c>
      <c r="I551" s="523"/>
      <c r="J551" s="342"/>
    </row>
    <row r="552" spans="1:10" s="334" customFormat="1" ht="17.100000000000001" customHeight="1" x14ac:dyDescent="0.25">
      <c r="A552" s="1230"/>
      <c r="B552" s="1230"/>
      <c r="C552" s="1230"/>
      <c r="D552" s="835" t="s">
        <v>78</v>
      </c>
      <c r="E552" s="835" t="s">
        <v>79</v>
      </c>
      <c r="F552" s="836" t="s">
        <v>80</v>
      </c>
      <c r="G552" s="836" t="s">
        <v>80</v>
      </c>
      <c r="H552" s="69" t="s">
        <v>13</v>
      </c>
      <c r="I552" s="523"/>
      <c r="J552" s="342"/>
    </row>
    <row r="553" spans="1:10" s="334" customFormat="1" ht="17.100000000000001" customHeight="1" x14ac:dyDescent="0.25">
      <c r="A553" s="891">
        <v>1</v>
      </c>
      <c r="B553" s="320" t="s">
        <v>63</v>
      </c>
      <c r="C553" s="320">
        <f>'Office Minor'!C775</f>
        <v>65</v>
      </c>
      <c r="D553" s="320">
        <f>'Office Minor'!D775</f>
        <v>68.69</v>
      </c>
      <c r="E553" s="320">
        <f>'Office Minor'!E775</f>
        <v>355472</v>
      </c>
      <c r="F553" s="320">
        <f>'Office Minor'!F775</f>
        <v>74649120</v>
      </c>
      <c r="G553" s="320">
        <f>'Office Minor'!G775</f>
        <v>12441520</v>
      </c>
      <c r="H553" s="320">
        <f>'Office Minor'!H775</f>
        <v>550</v>
      </c>
      <c r="I553" s="523"/>
      <c r="J553" s="342">
        <f>F553/E553</f>
        <v>210</v>
      </c>
    </row>
    <row r="554" spans="1:10" s="334" customFormat="1" ht="17.100000000000001" customHeight="1" x14ac:dyDescent="0.25">
      <c r="A554" s="316">
        <v>2</v>
      </c>
      <c r="B554" s="320" t="s">
        <v>67</v>
      </c>
      <c r="C554" s="320">
        <f>'Office Minor'!C776</f>
        <v>14</v>
      </c>
      <c r="D554" s="320">
        <f>'Office Minor'!D776</f>
        <v>13.85</v>
      </c>
      <c r="E554" s="320">
        <f>'Office Minor'!E776</f>
        <v>8208</v>
      </c>
      <c r="F554" s="320">
        <f>'Office Minor'!F776</f>
        <v>5745600</v>
      </c>
      <c r="G554" s="320">
        <f>'Office Minor'!G776</f>
        <v>3714717</v>
      </c>
      <c r="H554" s="320">
        <f>'Office Minor'!H776</f>
        <v>50</v>
      </c>
      <c r="I554" s="523"/>
      <c r="J554" s="342">
        <f t="shared" ref="J554:J561" si="113">F554/E554</f>
        <v>700</v>
      </c>
    </row>
    <row r="555" spans="1:10" s="334" customFormat="1" ht="17.100000000000001" customHeight="1" x14ac:dyDescent="0.25">
      <c r="A555" s="316">
        <v>3</v>
      </c>
      <c r="B555" s="320" t="s">
        <v>54</v>
      </c>
      <c r="C555" s="320">
        <f>'Office Minor'!C777</f>
        <v>0</v>
      </c>
      <c r="D555" s="320">
        <f>'Office Minor'!D777</f>
        <v>0</v>
      </c>
      <c r="E555" s="320">
        <f>'Office Minor'!E777</f>
        <v>0</v>
      </c>
      <c r="F555" s="320">
        <f>'Office Minor'!F777</f>
        <v>0</v>
      </c>
      <c r="G555" s="320">
        <f>'Office Minor'!G777</f>
        <v>0</v>
      </c>
      <c r="H555" s="320">
        <f>'Office Minor'!H777</f>
        <v>0</v>
      </c>
      <c r="I555" s="523"/>
      <c r="J555" s="342" t="e">
        <f t="shared" si="113"/>
        <v>#DIV/0!</v>
      </c>
    </row>
    <row r="556" spans="1:10" s="334" customFormat="1" ht="17.100000000000001" customHeight="1" x14ac:dyDescent="0.25">
      <c r="A556" s="316">
        <v>4</v>
      </c>
      <c r="B556" s="320" t="str">
        <f>'Office Minor'!B778</f>
        <v>Granite</v>
      </c>
      <c r="C556" s="320">
        <f>'Office Minor'!C778</f>
        <v>136</v>
      </c>
      <c r="D556" s="320">
        <f>'Office Minor'!D778</f>
        <v>204.27</v>
      </c>
      <c r="E556" s="320">
        <f>'Office Minor'!E778</f>
        <v>1032889</v>
      </c>
      <c r="F556" s="320">
        <f>'Office Minor'!F778</f>
        <v>2220711350</v>
      </c>
      <c r="G556" s="320">
        <f>'Office Minor'!G778</f>
        <v>320195590</v>
      </c>
      <c r="H556" s="320">
        <f>'Office Minor'!H778</f>
        <v>1500</v>
      </c>
      <c r="I556" s="523"/>
      <c r="J556" s="342"/>
    </row>
    <row r="557" spans="1:10" s="334" customFormat="1" ht="17.100000000000001" customHeight="1" x14ac:dyDescent="0.25">
      <c r="A557" s="316">
        <v>5</v>
      </c>
      <c r="B557" s="320" t="s">
        <v>73</v>
      </c>
      <c r="C557" s="320">
        <f>'Office Minor'!C779</f>
        <v>2</v>
      </c>
      <c r="D557" s="320">
        <f>'Office Minor'!D779</f>
        <v>1.65</v>
      </c>
      <c r="E557" s="320">
        <f>'Office Minor'!E779</f>
        <v>0</v>
      </c>
      <c r="F557" s="320">
        <f>'Office Minor'!F779</f>
        <v>0</v>
      </c>
      <c r="G557" s="320">
        <f>'Office Minor'!G779</f>
        <v>0</v>
      </c>
      <c r="H557" s="320">
        <f>'Office Minor'!H779</f>
        <v>0</v>
      </c>
      <c r="I557" s="523"/>
      <c r="J557" s="342" t="e">
        <f t="shared" si="113"/>
        <v>#DIV/0!</v>
      </c>
    </row>
    <row r="558" spans="1:10" s="334" customFormat="1" ht="17.100000000000001" customHeight="1" x14ac:dyDescent="0.25">
      <c r="A558" s="316">
        <f>+A557+1</f>
        <v>6</v>
      </c>
      <c r="B558" s="320" t="s">
        <v>59</v>
      </c>
      <c r="C558" s="320">
        <f>'Office Minor'!C780</f>
        <v>5</v>
      </c>
      <c r="D558" s="320">
        <f>'Office Minor'!D780</f>
        <v>3878.29</v>
      </c>
      <c r="E558" s="320">
        <f>'Office Minor'!E780</f>
        <v>8198010</v>
      </c>
      <c r="F558" s="320">
        <f>'Office Minor'!F780</f>
        <v>4508905500</v>
      </c>
      <c r="G558" s="320">
        <f>'Office Minor'!G780</f>
        <v>409900480</v>
      </c>
      <c r="H558" s="320">
        <f>'Office Minor'!H780</f>
        <v>150</v>
      </c>
      <c r="I558" s="523"/>
      <c r="J558" s="342">
        <f t="shared" si="113"/>
        <v>550</v>
      </c>
    </row>
    <row r="559" spans="1:10" s="334" customFormat="1" ht="17.100000000000001" customHeight="1" x14ac:dyDescent="0.25">
      <c r="A559" s="316">
        <v>7</v>
      </c>
      <c r="B559" s="317" t="s">
        <v>40</v>
      </c>
      <c r="C559" s="320">
        <f>'Office Minor'!C781</f>
        <v>70</v>
      </c>
      <c r="D559" s="320">
        <f>'Office Minor'!D781</f>
        <v>355.93</v>
      </c>
      <c r="E559" s="320">
        <f>'Office Minor'!E781</f>
        <v>406748</v>
      </c>
      <c r="F559" s="320">
        <f>'Office Minor'!F781</f>
        <v>246082540</v>
      </c>
      <c r="G559" s="320">
        <f>'Office Minor'!G781</f>
        <v>37420816</v>
      </c>
      <c r="H559" s="320">
        <f>'Office Minor'!H781</f>
        <v>150</v>
      </c>
      <c r="I559" s="523"/>
      <c r="J559" s="342">
        <f t="shared" si="113"/>
        <v>605</v>
      </c>
    </row>
    <row r="560" spans="1:10" s="334" customFormat="1" ht="17.100000000000001" customHeight="1" x14ac:dyDescent="0.25">
      <c r="A560" s="316">
        <v>8</v>
      </c>
      <c r="B560" s="317" t="s">
        <v>41</v>
      </c>
      <c r="C560" s="320">
        <f>'Office Minor'!C782</f>
        <v>56</v>
      </c>
      <c r="D560" s="320">
        <f>'Office Minor'!D782</f>
        <v>262.63</v>
      </c>
      <c r="E560" s="320">
        <f>'Office Minor'!E782</f>
        <v>39748</v>
      </c>
      <c r="F560" s="320">
        <f>'Office Minor'!F782</f>
        <v>19158536</v>
      </c>
      <c r="G560" s="320">
        <f>'Office Minor'!G782</f>
        <v>4292784</v>
      </c>
      <c r="H560" s="320">
        <f>'Office Minor'!H782</f>
        <v>50</v>
      </c>
      <c r="I560" s="523"/>
      <c r="J560" s="342">
        <f t="shared" si="113"/>
        <v>482</v>
      </c>
    </row>
    <row r="561" spans="1:18" s="334" customFormat="1" ht="17.100000000000001" customHeight="1" x14ac:dyDescent="0.25">
      <c r="A561" s="316">
        <v>9</v>
      </c>
      <c r="B561" s="317" t="s">
        <v>44</v>
      </c>
      <c r="C561" s="320">
        <f>'Office Minor'!C783</f>
        <v>9</v>
      </c>
      <c r="D561" s="320">
        <f>'Office Minor'!D783</f>
        <v>77.31</v>
      </c>
      <c r="E561" s="320">
        <f>'Office Minor'!E783</f>
        <v>31880</v>
      </c>
      <c r="F561" s="320">
        <f>'Office Minor'!F783</f>
        <v>17215200</v>
      </c>
      <c r="G561" s="320">
        <f>'Office Minor'!G783</f>
        <v>3506800</v>
      </c>
      <c r="H561" s="320">
        <f>'Office Minor'!H783</f>
        <v>30</v>
      </c>
      <c r="I561" s="523"/>
      <c r="J561" s="342">
        <f t="shared" si="113"/>
        <v>540</v>
      </c>
    </row>
    <row r="562" spans="1:18" s="334" customFormat="1" ht="17.100000000000001" customHeight="1" x14ac:dyDescent="0.25">
      <c r="A562" s="316">
        <v>10</v>
      </c>
      <c r="B562" s="317" t="str">
        <f>'Office Minor'!B784</f>
        <v>Mica</v>
      </c>
      <c r="C562" s="317">
        <f>'Office Minor'!C784</f>
        <v>12</v>
      </c>
      <c r="D562" s="317">
        <f>'Office Minor'!D784</f>
        <v>60.75</v>
      </c>
      <c r="E562" s="317">
        <f>'Office Minor'!E784</f>
        <v>5420</v>
      </c>
      <c r="F562" s="317">
        <f>'Office Minor'!F784</f>
        <v>9756000</v>
      </c>
      <c r="G562" s="317">
        <f>'Office Minor'!G784</f>
        <v>650400</v>
      </c>
      <c r="H562" s="317">
        <f>'Office Minor'!H784</f>
        <v>0</v>
      </c>
      <c r="I562" s="523"/>
      <c r="J562" s="342"/>
    </row>
    <row r="563" spans="1:18" s="334" customFormat="1" ht="17.100000000000001" customHeight="1" x14ac:dyDescent="0.25">
      <c r="A563" s="316"/>
      <c r="B563" s="320" t="s">
        <v>75</v>
      </c>
      <c r="C563" s="320">
        <f>'Office Minor'!C785</f>
        <v>0</v>
      </c>
      <c r="D563" s="320">
        <f>'Office Minor'!D785</f>
        <v>0</v>
      </c>
      <c r="E563" s="320">
        <f>'Office Minor'!E785</f>
        <v>0</v>
      </c>
      <c r="F563" s="320">
        <f>'Office Minor'!F785</f>
        <v>0</v>
      </c>
      <c r="G563" s="320">
        <f>'Office Minor'!G785</f>
        <v>15833452</v>
      </c>
      <c r="H563" s="320">
        <f>'Office Minor'!H785</f>
        <v>0</v>
      </c>
      <c r="I563" s="523"/>
      <c r="J563" s="342"/>
    </row>
    <row r="564" spans="1:18" s="334" customFormat="1" ht="17.100000000000001" customHeight="1" x14ac:dyDescent="0.25">
      <c r="A564" s="919"/>
      <c r="B564" s="910" t="s">
        <v>49</v>
      </c>
      <c r="C564" s="910"/>
      <c r="D564" s="910"/>
      <c r="E564" s="910"/>
      <c r="F564" s="910"/>
      <c r="G564" s="910">
        <f>'Office Minor'!G786</f>
        <v>0</v>
      </c>
      <c r="H564" s="910"/>
      <c r="I564" s="523"/>
      <c r="J564" s="342"/>
    </row>
    <row r="565" spans="1:18" s="334" customFormat="1" ht="17.100000000000001" customHeight="1" x14ac:dyDescent="0.25">
      <c r="A565" s="1231" t="s">
        <v>50</v>
      </c>
      <c r="B565" s="1267"/>
      <c r="C565" s="915">
        <f t="shared" ref="C565:H565" si="114">SUM(C553:C564)</f>
        <v>369</v>
      </c>
      <c r="D565" s="920">
        <f t="shared" si="114"/>
        <v>4923.3700000000008</v>
      </c>
      <c r="E565" s="505">
        <f t="shared" si="114"/>
        <v>10078375</v>
      </c>
      <c r="F565" s="921">
        <f t="shared" si="114"/>
        <v>7102223846</v>
      </c>
      <c r="G565" s="922">
        <f t="shared" si="114"/>
        <v>807956559</v>
      </c>
      <c r="H565" s="915">
        <f t="shared" si="114"/>
        <v>2480</v>
      </c>
      <c r="I565" s="523"/>
      <c r="J565" s="342"/>
    </row>
    <row r="566" spans="1:18" s="334" customFormat="1" ht="17.100000000000001" customHeight="1" x14ac:dyDescent="0.25">
      <c r="A566" s="513"/>
      <c r="B566" s="513"/>
      <c r="C566" s="513"/>
      <c r="D566" s="513"/>
      <c r="E566" s="513"/>
      <c r="F566" s="513"/>
      <c r="G566" s="513"/>
      <c r="H566" s="513"/>
      <c r="I566" s="523"/>
      <c r="J566" s="342"/>
    </row>
    <row r="567" spans="1:18" s="334" customFormat="1" ht="17.100000000000001" customHeight="1" x14ac:dyDescent="0.25">
      <c r="A567" s="1263" t="s">
        <v>267</v>
      </c>
      <c r="B567" s="1263"/>
      <c r="C567" s="1263"/>
      <c r="D567" s="1263"/>
      <c r="E567" s="1263"/>
      <c r="F567" s="1263"/>
      <c r="G567" s="1263"/>
      <c r="H567" s="1263"/>
      <c r="I567" s="523"/>
      <c r="J567" s="342"/>
    </row>
    <row r="568" spans="1:18" s="334" customFormat="1" ht="17.100000000000001" customHeight="1" x14ac:dyDescent="0.25">
      <c r="A568" s="1225" t="s">
        <v>182</v>
      </c>
      <c r="B568" s="1225" t="s">
        <v>3</v>
      </c>
      <c r="C568" s="1225" t="s">
        <v>4</v>
      </c>
      <c r="D568" s="834" t="s">
        <v>5</v>
      </c>
      <c r="E568" s="68" t="s">
        <v>6</v>
      </c>
      <c r="F568" s="833" t="s">
        <v>7</v>
      </c>
      <c r="G568" s="833" t="s">
        <v>8</v>
      </c>
      <c r="H568" s="68" t="s">
        <v>9</v>
      </c>
      <c r="I568" s="523"/>
      <c r="J568" s="342"/>
    </row>
    <row r="569" spans="1:18" s="334" customFormat="1" ht="17.100000000000001" customHeight="1" x14ac:dyDescent="0.25">
      <c r="A569" s="1230"/>
      <c r="B569" s="1230"/>
      <c r="C569" s="1230"/>
      <c r="D569" s="835" t="s">
        <v>78</v>
      </c>
      <c r="E569" s="835" t="s">
        <v>79</v>
      </c>
      <c r="F569" s="836" t="s">
        <v>80</v>
      </c>
      <c r="G569" s="836" t="s">
        <v>80</v>
      </c>
      <c r="H569" s="69" t="s">
        <v>13</v>
      </c>
      <c r="I569" s="523"/>
      <c r="J569" s="342"/>
    </row>
    <row r="570" spans="1:18" s="334" customFormat="1" ht="17.100000000000001" customHeight="1" x14ac:dyDescent="0.25">
      <c r="A570" s="891">
        <v>1</v>
      </c>
      <c r="B570" s="320" t="s">
        <v>62</v>
      </c>
      <c r="C570" s="320">
        <f>'Office Minor'!C656+'Office Minor'!C792</f>
        <v>107</v>
      </c>
      <c r="D570" s="320">
        <f>'Office Minor'!D656+'Office Minor'!D792</f>
        <v>153.42000000000002</v>
      </c>
      <c r="E570" s="320">
        <f>'Office Minor'!E656+'Office Minor'!E792</f>
        <v>282593</v>
      </c>
      <c r="F570" s="320">
        <f>'Office Minor'!F656+'Office Minor'!F792</f>
        <v>506418250</v>
      </c>
      <c r="G570" s="320">
        <f>'Office Minor'!G656+'Office Minor'!G792</f>
        <v>92068702</v>
      </c>
      <c r="H570" s="320">
        <f>'Office Minor'!H656+'Office Minor'!H792</f>
        <v>745</v>
      </c>
      <c r="I570" s="523"/>
      <c r="J570" s="342">
        <f>F570/E570</f>
        <v>1792.0410272016645</v>
      </c>
      <c r="L570" s="334" t="s">
        <v>576</v>
      </c>
      <c r="M570" s="609"/>
      <c r="N570" s="609"/>
      <c r="O570" s="609"/>
      <c r="P570" s="609"/>
      <c r="Q570" s="609"/>
      <c r="R570" s="609"/>
    </row>
    <row r="571" spans="1:18" s="334" customFormat="1" ht="17.100000000000001" customHeight="1" x14ac:dyDescent="0.25">
      <c r="A571" s="891">
        <v>2</v>
      </c>
      <c r="B571" s="331" t="s">
        <v>24</v>
      </c>
      <c r="C571" s="320">
        <f>'Office Minor'!C793</f>
        <v>1</v>
      </c>
      <c r="D571" s="320">
        <f>'Office Minor'!D793</f>
        <v>31</v>
      </c>
      <c r="E571" s="320">
        <f>'Office Minor'!E793</f>
        <v>6002</v>
      </c>
      <c r="F571" s="320">
        <f>'Office Minor'!F793</f>
        <v>7802600</v>
      </c>
      <c r="G571" s="320">
        <f>'Office Minor'!G793</f>
        <v>755260</v>
      </c>
      <c r="H571" s="320">
        <f>'Office Minor'!H793</f>
        <v>9</v>
      </c>
      <c r="I571" s="523"/>
      <c r="J571" s="342">
        <f t="shared" ref="J571:J590" si="115">F571/E571</f>
        <v>1300</v>
      </c>
      <c r="L571" s="334" t="s">
        <v>577</v>
      </c>
      <c r="M571" s="334">
        <f>'Office Minor'!C792</f>
        <v>66</v>
      </c>
      <c r="N571" s="334">
        <f>'Office Minor'!D792</f>
        <v>84.31</v>
      </c>
      <c r="O571" s="334">
        <f>'Office Minor'!E792</f>
        <v>200699</v>
      </c>
      <c r="P571" s="334">
        <f>'Office Minor'!F792</f>
        <v>371293150</v>
      </c>
      <c r="Q571" s="334">
        <f>'Office Minor'!G792</f>
        <v>73642552</v>
      </c>
      <c r="R571" s="334">
        <f>'Office Minor'!H792</f>
        <v>595</v>
      </c>
    </row>
    <row r="572" spans="1:18" s="334" customFormat="1" ht="17.100000000000001" customHeight="1" x14ac:dyDescent="0.25">
      <c r="A572" s="891">
        <v>3</v>
      </c>
      <c r="B572" s="320" t="s">
        <v>54</v>
      </c>
      <c r="C572" s="320">
        <f>'Office Minor'!C799</f>
        <v>0</v>
      </c>
      <c r="D572" s="320">
        <f>'Office Minor'!D799</f>
        <v>0</v>
      </c>
      <c r="E572" s="320">
        <f>'Office Minor'!E799</f>
        <v>0</v>
      </c>
      <c r="F572" s="320">
        <f>'Office Minor'!F799</f>
        <v>0</v>
      </c>
      <c r="G572" s="320">
        <f>'Office Minor'!G799</f>
        <v>0</v>
      </c>
      <c r="H572" s="320">
        <f>'Office Minor'!H799</f>
        <v>0</v>
      </c>
      <c r="I572" s="523"/>
      <c r="J572" s="342" t="e">
        <f t="shared" si="115"/>
        <v>#DIV/0!</v>
      </c>
      <c r="L572" s="707" t="s">
        <v>578</v>
      </c>
      <c r="M572" s="707">
        <f>M571+M570</f>
        <v>66</v>
      </c>
      <c r="N572" s="707">
        <f t="shared" ref="N572:R572" si="116">N571+N570</f>
        <v>84.31</v>
      </c>
      <c r="O572" s="707">
        <f t="shared" si="116"/>
        <v>200699</v>
      </c>
      <c r="P572" s="707">
        <f t="shared" si="116"/>
        <v>371293150</v>
      </c>
      <c r="Q572" s="707">
        <f t="shared" si="116"/>
        <v>73642552</v>
      </c>
      <c r="R572" s="707">
        <f t="shared" si="116"/>
        <v>595</v>
      </c>
    </row>
    <row r="573" spans="1:18" s="334" customFormat="1" ht="17.100000000000001" customHeight="1" x14ac:dyDescent="0.25">
      <c r="A573" s="891">
        <v>4</v>
      </c>
      <c r="B573" s="320" t="s">
        <v>58</v>
      </c>
      <c r="C573" s="320">
        <f>'Office Minor'!C794+'Office Minor'!C665</f>
        <v>10</v>
      </c>
      <c r="D573" s="320">
        <f>'Office Minor'!D794+'Office Minor'!D665</f>
        <v>24.95</v>
      </c>
      <c r="E573" s="320">
        <f>'Office Minor'!E794+'Office Minor'!E665</f>
        <v>36707</v>
      </c>
      <c r="F573" s="320">
        <f>'Office Minor'!F794+'Office Minor'!F665</f>
        <v>78270850</v>
      </c>
      <c r="G573" s="320">
        <f>'Office Minor'!G794+'Office Minor'!G665</f>
        <v>10314695</v>
      </c>
      <c r="H573" s="320">
        <f>'Office Minor'!H794+'Office Minor'!H665</f>
        <v>53</v>
      </c>
      <c r="I573" s="523"/>
      <c r="J573" s="342">
        <f t="shared" si="115"/>
        <v>2132.3140000544854</v>
      </c>
    </row>
    <row r="574" spans="1:18" s="334" customFormat="1" ht="17.100000000000001" customHeight="1" x14ac:dyDescent="0.25">
      <c r="A574" s="891">
        <v>5</v>
      </c>
      <c r="B574" s="320" t="s">
        <v>147</v>
      </c>
      <c r="C574" s="320">
        <f>'Office Minor'!C632</f>
        <v>0</v>
      </c>
      <c r="D574" s="320">
        <f>'Office Minor'!D632</f>
        <v>0</v>
      </c>
      <c r="E574" s="320">
        <f>'Office Minor'!E632</f>
        <v>0</v>
      </c>
      <c r="F574" s="320">
        <f>'Office Minor'!F632</f>
        <v>0</v>
      </c>
      <c r="G574" s="320">
        <f>'Office Minor'!G632</f>
        <v>0</v>
      </c>
      <c r="H574" s="320">
        <f>'Office Minor'!H632</f>
        <v>0</v>
      </c>
      <c r="I574" s="523"/>
      <c r="J574" s="342" t="e">
        <f t="shared" si="115"/>
        <v>#DIV/0!</v>
      </c>
    </row>
    <row r="575" spans="1:18" s="334" customFormat="1" ht="17.100000000000001" customHeight="1" x14ac:dyDescent="0.25">
      <c r="A575" s="891">
        <v>6</v>
      </c>
      <c r="B575" s="320" t="s">
        <v>60</v>
      </c>
      <c r="C575" s="320">
        <f>'Office Minor'!C795</f>
        <v>29</v>
      </c>
      <c r="D575" s="320">
        <f>'Office Minor'!D795</f>
        <v>29.38</v>
      </c>
      <c r="E575" s="320">
        <f>'Office Minor'!E795</f>
        <v>220487</v>
      </c>
      <c r="F575" s="320">
        <f>'Office Minor'!F795</f>
        <v>77170450</v>
      </c>
      <c r="G575" s="320">
        <f>'Office Minor'!G795</f>
        <v>2081350</v>
      </c>
      <c r="H575" s="320">
        <f>'Office Minor'!H795</f>
        <v>225</v>
      </c>
      <c r="I575" s="523"/>
      <c r="J575" s="342">
        <f t="shared" si="115"/>
        <v>350</v>
      </c>
    </row>
    <row r="576" spans="1:18" s="334" customFormat="1" ht="17.100000000000001" customHeight="1" x14ac:dyDescent="0.25">
      <c r="A576" s="891">
        <v>7</v>
      </c>
      <c r="B576" s="320" t="s">
        <v>63</v>
      </c>
      <c r="C576" s="320">
        <f>'Office Minor'!C796+'Office Minor'!C631+'Office Minor'!C659</f>
        <v>166</v>
      </c>
      <c r="D576" s="320">
        <f>'Office Minor'!D796+'Office Minor'!D631+'Office Minor'!D659</f>
        <v>181.93</v>
      </c>
      <c r="E576" s="320">
        <f>'Office Minor'!E796+'Office Minor'!E631+'Office Minor'!E659</f>
        <v>3377250</v>
      </c>
      <c r="F576" s="320">
        <f>'Office Minor'!F796+'Office Minor'!F631+'Office Minor'!F659</f>
        <v>675482190</v>
      </c>
      <c r="G576" s="320">
        <f>'Office Minor'!G796+'Office Minor'!G631+'Office Minor'!G659</f>
        <v>142068224</v>
      </c>
      <c r="H576" s="320">
        <f>'Office Minor'!H796+'Office Minor'!H631+'Office Minor'!H659</f>
        <v>1250</v>
      </c>
      <c r="I576" s="524">
        <f>G593+Distt.Major!G192</f>
        <v>7403255616</v>
      </c>
      <c r="J576" s="342">
        <f t="shared" si="115"/>
        <v>200.00953142349545</v>
      </c>
    </row>
    <row r="577" spans="1:18" s="334" customFormat="1" ht="17.100000000000001" customHeight="1" x14ac:dyDescent="0.25">
      <c r="A577" s="891">
        <v>8</v>
      </c>
      <c r="B577" s="320" t="s">
        <v>205</v>
      </c>
      <c r="C577" s="320">
        <f>'Office Minor'!C797+'Office Minor'!C661</f>
        <v>23</v>
      </c>
      <c r="D577" s="320">
        <f>'Office Minor'!D797+'Office Minor'!D661</f>
        <v>937.82</v>
      </c>
      <c r="E577" s="320">
        <f>'Office Minor'!E797+'Office Minor'!E661</f>
        <v>57421</v>
      </c>
      <c r="F577" s="320">
        <f>'Office Minor'!F797+'Office Minor'!F661</f>
        <v>38325050</v>
      </c>
      <c r="G577" s="320">
        <f>'Office Minor'!G797+'Office Minor'!G661</f>
        <v>2663576</v>
      </c>
      <c r="H577" s="320">
        <f>'Office Minor'!H797+'Office Minor'!H661</f>
        <v>45</v>
      </c>
      <c r="I577" s="523"/>
      <c r="J577" s="342">
        <f t="shared" si="115"/>
        <v>667.43961268525447</v>
      </c>
    </row>
    <row r="578" spans="1:18" s="334" customFormat="1" ht="17.100000000000001" customHeight="1" x14ac:dyDescent="0.25">
      <c r="A578" s="891">
        <v>9</v>
      </c>
      <c r="B578" s="320" t="s">
        <v>59</v>
      </c>
      <c r="C578" s="320">
        <f>'Office Minor'!C798</f>
        <v>0</v>
      </c>
      <c r="D578" s="320">
        <f>'Office Minor'!D798</f>
        <v>0</v>
      </c>
      <c r="E578" s="320">
        <f>'Office Minor'!E798</f>
        <v>0</v>
      </c>
      <c r="F578" s="320">
        <f>'Office Minor'!F798</f>
        <v>0</v>
      </c>
      <c r="G578" s="320">
        <f>'Office Minor'!G798</f>
        <v>0</v>
      </c>
      <c r="H578" s="320">
        <f>'Office Minor'!H798</f>
        <v>0</v>
      </c>
      <c r="I578" s="530"/>
      <c r="J578" s="342" t="e">
        <f t="shared" si="115"/>
        <v>#DIV/0!</v>
      </c>
    </row>
    <row r="579" spans="1:18" s="334" customFormat="1" ht="17.100000000000001" customHeight="1" x14ac:dyDescent="0.25">
      <c r="A579" s="891">
        <v>10</v>
      </c>
      <c r="B579" s="320" t="s">
        <v>72</v>
      </c>
      <c r="C579" s="320">
        <f>'Office Minor'!C800+'Office Minor'!C630</f>
        <v>132</v>
      </c>
      <c r="D579" s="320">
        <f>'Office Minor'!D800+'Office Minor'!D630</f>
        <v>159.73000000000002</v>
      </c>
      <c r="E579" s="320">
        <f>'Office Minor'!E800+'Office Minor'!E630</f>
        <v>339359</v>
      </c>
      <c r="F579" s="320">
        <f>'Office Minor'!F800+'Office Minor'!F630</f>
        <v>492070550</v>
      </c>
      <c r="G579" s="320">
        <f>'Office Minor'!G800+'Office Minor'!G630</f>
        <v>106343011</v>
      </c>
      <c r="H579" s="320">
        <f>'Office Minor'!H800+'Office Minor'!H630</f>
        <v>1923</v>
      </c>
      <c r="I579" s="530"/>
      <c r="J579" s="342">
        <f t="shared" si="115"/>
        <v>1450</v>
      </c>
      <c r="L579" s="334" t="s">
        <v>568</v>
      </c>
      <c r="M579" s="334">
        <f>'Office Minor'!C633</f>
        <v>34</v>
      </c>
      <c r="N579" s="334">
        <f>'Office Minor'!D633</f>
        <v>474.53</v>
      </c>
      <c r="O579" s="334">
        <f>'Office Minor'!E633</f>
        <v>337417</v>
      </c>
      <c r="P579" s="334">
        <f>'Office Minor'!F633</f>
        <v>455512950</v>
      </c>
      <c r="Q579" s="334">
        <f>'Office Minor'!G633</f>
        <v>37589601</v>
      </c>
      <c r="R579" s="334">
        <f>'Office Minor'!H633</f>
        <v>450</v>
      </c>
    </row>
    <row r="580" spans="1:18" s="334" customFormat="1" ht="17.100000000000001" customHeight="1" x14ac:dyDescent="0.25">
      <c r="A580" s="891">
        <v>11</v>
      </c>
      <c r="B580" s="320" t="s">
        <v>46</v>
      </c>
      <c r="C580" s="320">
        <f>'Office Minor'!C633+'Office Minor'!C662+'Office Minor'!C801</f>
        <v>66</v>
      </c>
      <c r="D580" s="320">
        <f>'Office Minor'!D633+'Office Minor'!D662+'Office Minor'!D801</f>
        <v>1502.2</v>
      </c>
      <c r="E580" s="320">
        <f>'Office Minor'!E633+'Office Minor'!E662+'Office Minor'!E801</f>
        <v>535539</v>
      </c>
      <c r="F580" s="320">
        <f>'Office Minor'!F633+'Office Minor'!F662+'Office Minor'!F801</f>
        <v>722977650</v>
      </c>
      <c r="G580" s="320">
        <f>'Office Minor'!G633+'Office Minor'!G662+'Office Minor'!G801</f>
        <v>104112562</v>
      </c>
      <c r="H580" s="320">
        <f>'Office Minor'!H633+'Office Minor'!H662+'Office Minor'!H801</f>
        <v>775</v>
      </c>
      <c r="I580" s="530"/>
      <c r="J580" s="342">
        <f t="shared" si="115"/>
        <v>1350</v>
      </c>
      <c r="L580" s="334" t="s">
        <v>484</v>
      </c>
      <c r="M580" s="423"/>
      <c r="N580" s="423"/>
      <c r="O580" s="423"/>
      <c r="P580" s="423"/>
      <c r="Q580" s="423"/>
      <c r="R580" s="423"/>
    </row>
    <row r="581" spans="1:18" s="334" customFormat="1" ht="17.100000000000001" customHeight="1" x14ac:dyDescent="0.25">
      <c r="A581" s="891">
        <v>12</v>
      </c>
      <c r="B581" s="320" t="s">
        <v>27</v>
      </c>
      <c r="C581" s="320">
        <f>'Office Minor'!C663+'Office Minor'!C802</f>
        <v>31</v>
      </c>
      <c r="D581" s="320">
        <f>'Office Minor'!D663+'Office Minor'!D802</f>
        <v>584.76</v>
      </c>
      <c r="E581" s="320">
        <f>'Office Minor'!E663+'Office Minor'!E802</f>
        <v>255145</v>
      </c>
      <c r="F581" s="320">
        <f>'Office Minor'!F663+'Office Minor'!F802</f>
        <v>447937150</v>
      </c>
      <c r="G581" s="320">
        <f>'Office Minor'!G663+'Office Minor'!G802</f>
        <v>69788002</v>
      </c>
      <c r="H581" s="320">
        <f>'Office Minor'!H663+'Office Minor'!H802</f>
        <v>18</v>
      </c>
      <c r="I581" s="530"/>
      <c r="J581" s="342">
        <f t="shared" si="115"/>
        <v>1755.6179819318427</v>
      </c>
      <c r="L581" s="707" t="s">
        <v>485</v>
      </c>
      <c r="M581" s="707">
        <f>M580+'Office Minor'!C801+M579</f>
        <v>61</v>
      </c>
      <c r="N581" s="707">
        <f>N580+'Office Minor'!D801+N579</f>
        <v>1502.2</v>
      </c>
      <c r="O581" s="707">
        <f>O580+'Office Minor'!E801+O579</f>
        <v>510396</v>
      </c>
      <c r="P581" s="707">
        <f>P580+'Office Minor'!F801+P579</f>
        <v>689034600</v>
      </c>
      <c r="Q581" s="707">
        <f>Q580+'Office Minor'!G801+Q579</f>
        <v>96821092</v>
      </c>
      <c r="R581" s="707">
        <f>R580+'Office Minor'!H801+R579</f>
        <v>675</v>
      </c>
    </row>
    <row r="582" spans="1:18" s="334" customFormat="1" ht="17.100000000000001" customHeight="1" x14ac:dyDescent="0.25">
      <c r="A582" s="891">
        <v>13</v>
      </c>
      <c r="B582" s="320" t="s">
        <v>39</v>
      </c>
      <c r="C582" s="320">
        <f>'Office Minor'!C803</f>
        <v>7</v>
      </c>
      <c r="D582" s="320">
        <f>'Office Minor'!D803</f>
        <v>197.53</v>
      </c>
      <c r="E582" s="320">
        <f>'Office Minor'!E803</f>
        <v>18131</v>
      </c>
      <c r="F582" s="320">
        <f>'Office Minor'!F803</f>
        <v>29009564.964674339</v>
      </c>
      <c r="G582" s="320">
        <f>'Office Minor'!G803</f>
        <v>11744060</v>
      </c>
      <c r="H582" s="320">
        <f>'Office Minor'!H803</f>
        <v>23</v>
      </c>
      <c r="I582" s="530"/>
      <c r="J582" s="342">
        <f t="shared" si="115"/>
        <v>1599.9980676561877</v>
      </c>
    </row>
    <row r="583" spans="1:18" s="334" customFormat="1" ht="17.100000000000001" customHeight="1" x14ac:dyDescent="0.25">
      <c r="A583" s="891">
        <v>14</v>
      </c>
      <c r="B583" s="320" t="s">
        <v>176</v>
      </c>
      <c r="C583" s="320">
        <f>'Office Minor'!C804</f>
        <v>1</v>
      </c>
      <c r="D583" s="320">
        <f>'Office Minor'!D804</f>
        <v>44</v>
      </c>
      <c r="E583" s="320">
        <f>'Office Minor'!E804</f>
        <v>86966</v>
      </c>
      <c r="F583" s="320">
        <f>'Office Minor'!F804</f>
        <v>21741452.593407299</v>
      </c>
      <c r="G583" s="320">
        <f>'Office Minor'!G804</f>
        <v>1135765</v>
      </c>
      <c r="H583" s="320">
        <f>'Office Minor'!H804</f>
        <v>28</v>
      </c>
      <c r="I583" s="530"/>
      <c r="J583" s="342">
        <f t="shared" si="115"/>
        <v>249.99945488360163</v>
      </c>
    </row>
    <row r="584" spans="1:18" s="334" customFormat="1" ht="17.100000000000001" customHeight="1" x14ac:dyDescent="0.25">
      <c r="A584" s="891">
        <v>15</v>
      </c>
      <c r="B584" s="320" t="s">
        <v>26</v>
      </c>
      <c r="C584" s="320">
        <f>'Office Minor'!C805</f>
        <v>2</v>
      </c>
      <c r="D584" s="320">
        <f>'Office Minor'!D805</f>
        <v>59</v>
      </c>
      <c r="E584" s="320">
        <f>'Office Minor'!E805</f>
        <v>45650</v>
      </c>
      <c r="F584" s="320">
        <f>'Office Minor'!F805</f>
        <v>20086014.94299636</v>
      </c>
      <c r="G584" s="320">
        <f>'Office Minor'!G805</f>
        <v>1611628</v>
      </c>
      <c r="H584" s="320">
        <f>'Office Minor'!H805</f>
        <v>15</v>
      </c>
      <c r="I584" s="530"/>
      <c r="J584" s="342">
        <f t="shared" si="115"/>
        <v>440.00032733836497</v>
      </c>
      <c r="L584" s="334" t="s">
        <v>574</v>
      </c>
      <c r="M584" s="423"/>
      <c r="N584" s="423"/>
      <c r="O584" s="423"/>
      <c r="P584" s="423"/>
      <c r="Q584" s="423"/>
      <c r="R584" s="423"/>
    </row>
    <row r="585" spans="1:18" s="334" customFormat="1" ht="17.100000000000001" customHeight="1" x14ac:dyDescent="0.25">
      <c r="A585" s="891">
        <v>16</v>
      </c>
      <c r="B585" s="320" t="s">
        <v>25</v>
      </c>
      <c r="C585" s="320">
        <f>'Office Minor'!C806</f>
        <v>12</v>
      </c>
      <c r="D585" s="320">
        <f>'Office Minor'!D806</f>
        <v>130.97</v>
      </c>
      <c r="E585" s="320">
        <f>'Office Minor'!E806</f>
        <v>69971</v>
      </c>
      <c r="F585" s="320">
        <f>'Office Minor'!F806</f>
        <v>59475884.636401966</v>
      </c>
      <c r="G585" s="320">
        <f>'Office Minor'!G806</f>
        <v>7615607</v>
      </c>
      <c r="H585" s="320">
        <f>'Office Minor'!H806</f>
        <v>43</v>
      </c>
      <c r="I585" s="530"/>
      <c r="J585" s="342">
        <f t="shared" si="115"/>
        <v>850.00764082837122</v>
      </c>
      <c r="L585" s="334" t="s">
        <v>573</v>
      </c>
      <c r="M585" s="334">
        <f>'Office Minor'!C802</f>
        <v>11</v>
      </c>
      <c r="N585" s="334">
        <f>'Office Minor'!D802</f>
        <v>570.46</v>
      </c>
      <c r="O585" s="334">
        <f>'Office Minor'!E802</f>
        <v>226477</v>
      </c>
      <c r="P585" s="334">
        <f>'Office Minor'!F802</f>
        <v>396334750</v>
      </c>
      <c r="Q585" s="334">
        <f>'Office Minor'!G802</f>
        <v>62334322</v>
      </c>
      <c r="R585" s="334">
        <f>'Office Minor'!H802</f>
        <v>18</v>
      </c>
    </row>
    <row r="586" spans="1:18" s="334" customFormat="1" ht="17.100000000000001" customHeight="1" x14ac:dyDescent="0.25">
      <c r="A586" s="891">
        <v>17</v>
      </c>
      <c r="B586" s="320" t="s">
        <v>41</v>
      </c>
      <c r="C586" s="320">
        <f>'Office Minor'!C807+'Office Minor'!C664</f>
        <v>155</v>
      </c>
      <c r="D586" s="320">
        <f>'Office Minor'!D807+'Office Minor'!D664</f>
        <v>17561.559999999998</v>
      </c>
      <c r="E586" s="320">
        <f>'Office Minor'!E807+'Office Minor'!E664</f>
        <v>2456119</v>
      </c>
      <c r="F586" s="320">
        <f>'Office Minor'!F807+'Office Minor'!F664</f>
        <v>1158253710.9007456</v>
      </c>
      <c r="G586" s="320">
        <f>'Office Minor'!G807+'Office Minor'!G664</f>
        <v>83624483</v>
      </c>
      <c r="H586" s="320">
        <f>'Office Minor'!H807+'Office Minor'!H664</f>
        <v>271</v>
      </c>
      <c r="I586" s="530"/>
      <c r="J586" s="342">
        <f t="shared" si="115"/>
        <v>471.57882451979958</v>
      </c>
      <c r="L586" s="707" t="s">
        <v>575</v>
      </c>
      <c r="M586" s="707">
        <f>M585+M584</f>
        <v>11</v>
      </c>
      <c r="N586" s="707">
        <f t="shared" ref="N586:R586" si="117">N585+N584</f>
        <v>570.46</v>
      </c>
      <c r="O586" s="707">
        <f t="shared" si="117"/>
        <v>226477</v>
      </c>
      <c r="P586" s="707">
        <f t="shared" si="117"/>
        <v>396334750</v>
      </c>
      <c r="Q586" s="707">
        <f t="shared" si="117"/>
        <v>62334322</v>
      </c>
      <c r="R586" s="707">
        <f t="shared" si="117"/>
        <v>18</v>
      </c>
    </row>
    <row r="587" spans="1:18" s="334" customFormat="1" ht="17.100000000000001" customHeight="1" x14ac:dyDescent="0.25">
      <c r="A587" s="891">
        <v>18</v>
      </c>
      <c r="B587" s="320" t="s">
        <v>40</v>
      </c>
      <c r="C587" s="320">
        <f>'Office Minor'!C657+'Office Minor'!C808</f>
        <v>18</v>
      </c>
      <c r="D587" s="320">
        <f>'Office Minor'!D657+'Office Minor'!D808</f>
        <v>70.58</v>
      </c>
      <c r="E587" s="320">
        <f>'Office Minor'!E657+'Office Minor'!E808</f>
        <v>281030</v>
      </c>
      <c r="F587" s="320">
        <f>'Office Minor'!F657+'Office Minor'!F808</f>
        <v>169676958.64640447</v>
      </c>
      <c r="G587" s="320">
        <f>'Office Minor'!G657+'Office Minor'!G808</f>
        <v>94995573</v>
      </c>
      <c r="H587" s="320">
        <f>'Office Minor'!H657+'Office Minor'!H808</f>
        <v>340</v>
      </c>
      <c r="I587" s="530"/>
      <c r="J587" s="342">
        <f t="shared" si="115"/>
        <v>603.76813381633451</v>
      </c>
      <c r="Q587" s="342">
        <f>'Office Minor'!G663</f>
        <v>7453680</v>
      </c>
    </row>
    <row r="588" spans="1:18" s="334" customFormat="1" ht="17.100000000000001" customHeight="1" x14ac:dyDescent="0.25">
      <c r="A588" s="891">
        <v>19</v>
      </c>
      <c r="B588" s="317" t="s">
        <v>44</v>
      </c>
      <c r="C588" s="320">
        <f>'Office Minor'!C809</f>
        <v>0</v>
      </c>
      <c r="D588" s="320">
        <f>'Office Minor'!D809</f>
        <v>0</v>
      </c>
      <c r="E588" s="320">
        <f>'Office Minor'!E809</f>
        <v>0</v>
      </c>
      <c r="F588" s="320">
        <f>'Office Minor'!F809</f>
        <v>0</v>
      </c>
      <c r="G588" s="320">
        <f>'Office Minor'!G809</f>
        <v>0</v>
      </c>
      <c r="H588" s="320">
        <f>'Office Minor'!H809</f>
        <v>0</v>
      </c>
      <c r="I588" s="530"/>
      <c r="J588" s="342" t="e">
        <f t="shared" si="115"/>
        <v>#DIV/0!</v>
      </c>
      <c r="Q588" s="342">
        <f>Q60-503750</f>
        <v>-503750</v>
      </c>
    </row>
    <row r="589" spans="1:18" s="334" customFormat="1" ht="17.100000000000001" customHeight="1" x14ac:dyDescent="0.25">
      <c r="A589" s="891">
        <v>20</v>
      </c>
      <c r="B589" s="317" t="s">
        <v>65</v>
      </c>
      <c r="C589" s="320">
        <f>'Office Minor'!C810</f>
        <v>0</v>
      </c>
      <c r="D589" s="320">
        <f>'Office Minor'!D810</f>
        <v>0</v>
      </c>
      <c r="E589" s="320">
        <f>'Office Minor'!E810</f>
        <v>0</v>
      </c>
      <c r="F589" s="320">
        <f>'Office Minor'!F810</f>
        <v>0</v>
      </c>
      <c r="G589" s="320">
        <f>'Office Minor'!G810</f>
        <v>0</v>
      </c>
      <c r="H589" s="320">
        <f>'Office Minor'!H810</f>
        <v>0</v>
      </c>
      <c r="I589" s="530"/>
      <c r="J589" s="342"/>
    </row>
    <row r="590" spans="1:18" s="334" customFormat="1" ht="17.100000000000001" customHeight="1" x14ac:dyDescent="0.25">
      <c r="A590" s="891">
        <v>21</v>
      </c>
      <c r="B590" s="320" t="s">
        <v>68</v>
      </c>
      <c r="C590" s="320">
        <f>'Office Minor'!C658</f>
        <v>3</v>
      </c>
      <c r="D590" s="320">
        <f>'Office Minor'!D658</f>
        <v>4</v>
      </c>
      <c r="E590" s="320">
        <f>'Office Minor'!E658</f>
        <v>0</v>
      </c>
      <c r="F590" s="320">
        <f>'Office Minor'!F658</f>
        <v>0</v>
      </c>
      <c r="G590" s="320">
        <f>'Office Minor'!G658</f>
        <v>0</v>
      </c>
      <c r="H590" s="320">
        <f>'Office Minor'!H658</f>
        <v>0</v>
      </c>
      <c r="I590" s="530"/>
      <c r="J590" s="342" t="e">
        <f t="shared" si="115"/>
        <v>#DIV/0!</v>
      </c>
      <c r="M590" s="334" t="s">
        <v>483</v>
      </c>
      <c r="N590" s="334" t="s">
        <v>481</v>
      </c>
      <c r="O590" s="334" t="s">
        <v>482</v>
      </c>
    </row>
    <row r="591" spans="1:18" s="334" customFormat="1" ht="17.100000000000001" customHeight="1" x14ac:dyDescent="0.25">
      <c r="A591" s="891"/>
      <c r="B591" s="320" t="s">
        <v>75</v>
      </c>
      <c r="C591" s="320"/>
      <c r="D591" s="851"/>
      <c r="E591" s="685"/>
      <c r="F591" s="923"/>
      <c r="G591" s="796">
        <f>P591</f>
        <v>3787863</v>
      </c>
      <c r="H591" s="686"/>
      <c r="I591" s="530"/>
      <c r="J591" s="342"/>
      <c r="L591" s="334" t="s">
        <v>582</v>
      </c>
      <c r="M591" s="759">
        <f>'Office Minor'!G666</f>
        <v>1259000</v>
      </c>
      <c r="N591" s="334">
        <f>'Office Minor'!G811</f>
        <v>1011000</v>
      </c>
      <c r="O591" s="342">
        <f>'Office Minor'!G634</f>
        <v>1517863</v>
      </c>
      <c r="P591" s="379">
        <f>M591+N591+O591</f>
        <v>3787863</v>
      </c>
    </row>
    <row r="592" spans="1:18" s="334" customFormat="1" ht="17.100000000000001" customHeight="1" x14ac:dyDescent="0.25">
      <c r="A592" s="316"/>
      <c r="B592" s="320" t="s">
        <v>49</v>
      </c>
      <c r="C592" s="320"/>
      <c r="D592" s="684"/>
      <c r="E592" s="924"/>
      <c r="F592" s="321"/>
      <c r="G592" s="796">
        <f>P592</f>
        <v>423238664</v>
      </c>
      <c r="H592" s="914"/>
      <c r="I592" s="530"/>
      <c r="J592" s="342"/>
      <c r="L592" s="334" t="s">
        <v>502</v>
      </c>
      <c r="M592" s="759">
        <f>'Office Minor'!G667</f>
        <v>2171283</v>
      </c>
      <c r="N592" s="334">
        <f>'Office Minor'!G812</f>
        <v>403589442</v>
      </c>
      <c r="O592" s="342">
        <f>'Office Minor'!G635</f>
        <v>17477939</v>
      </c>
      <c r="P592" s="379">
        <f>M592+N592+O592</f>
        <v>423238664</v>
      </c>
    </row>
    <row r="593" spans="1:10" ht="17.100000000000001" customHeight="1" x14ac:dyDescent="0.3">
      <c r="A593" s="1268" t="s">
        <v>50</v>
      </c>
      <c r="B593" s="1269"/>
      <c r="C593" s="925">
        <f>SUM(C570:C592)</f>
        <v>763</v>
      </c>
      <c r="D593" s="925">
        <f t="shared" ref="D593:H593" si="118">SUM(D570:D592)</f>
        <v>21672.83</v>
      </c>
      <c r="E593" s="925">
        <f t="shared" si="118"/>
        <v>8068370</v>
      </c>
      <c r="F593" s="925">
        <f t="shared" si="118"/>
        <v>4504698326.6846304</v>
      </c>
      <c r="G593" s="925">
        <f t="shared" si="118"/>
        <v>1157949025</v>
      </c>
      <c r="H593" s="925">
        <f t="shared" si="118"/>
        <v>5763</v>
      </c>
      <c r="I593" s="152"/>
      <c r="J593" s="120"/>
    </row>
    <row r="594" spans="1:10" x14ac:dyDescent="0.3">
      <c r="A594" s="146"/>
      <c r="B594" s="146"/>
      <c r="C594" s="146"/>
      <c r="D594" s="146"/>
      <c r="E594" s="146"/>
      <c r="F594" s="146"/>
      <c r="G594" s="146"/>
      <c r="H594" s="146"/>
      <c r="I594" s="152"/>
      <c r="J594" s="120"/>
    </row>
    <row r="595" spans="1:10" ht="30.75" x14ac:dyDescent="0.3">
      <c r="A595" s="1266" t="s">
        <v>268</v>
      </c>
      <c r="B595" s="1266"/>
      <c r="C595" s="1266"/>
      <c r="D595" s="1266"/>
      <c r="E595" s="1266"/>
      <c r="F595" s="1266"/>
      <c r="G595" s="1266"/>
      <c r="H595" s="1266"/>
      <c r="I595" s="152"/>
      <c r="J595" s="120"/>
    </row>
    <row r="596" spans="1:10" ht="22.5" x14ac:dyDescent="0.3">
      <c r="A596" s="1234" t="s">
        <v>290</v>
      </c>
      <c r="B596" s="1234"/>
      <c r="C596" s="1234"/>
      <c r="D596" s="1234"/>
      <c r="E596" s="1234"/>
      <c r="F596" s="1234"/>
      <c r="G596" s="1234"/>
      <c r="H596" s="1234"/>
      <c r="I596" s="152"/>
      <c r="J596" s="120"/>
    </row>
    <row r="597" spans="1:10" x14ac:dyDescent="0.3">
      <c r="A597" s="1261" t="str">
        <f>A3</f>
        <v>Financial Year 2023-24</v>
      </c>
      <c r="B597" s="1261"/>
      <c r="C597" s="1261"/>
      <c r="D597" s="1261"/>
      <c r="E597" s="1261"/>
      <c r="F597" s="1261"/>
      <c r="G597" s="1261"/>
      <c r="H597" s="1261"/>
      <c r="I597" s="152"/>
      <c r="J597" s="120"/>
    </row>
    <row r="598" spans="1:10" x14ac:dyDescent="0.3">
      <c r="A598" s="146"/>
      <c r="B598" s="926"/>
      <c r="C598" s="926"/>
      <c r="D598" s="927"/>
      <c r="E598" s="928"/>
      <c r="F598" s="928"/>
      <c r="G598" s="928"/>
      <c r="H598" s="929"/>
      <c r="I598" s="152"/>
      <c r="J598" s="120"/>
    </row>
    <row r="599" spans="1:10" x14ac:dyDescent="0.3">
      <c r="A599" s="1265" t="s">
        <v>2</v>
      </c>
      <c r="B599" s="1259" t="s">
        <v>270</v>
      </c>
      <c r="C599" s="930" t="s">
        <v>4</v>
      </c>
      <c r="D599" s="931" t="s">
        <v>5</v>
      </c>
      <c r="E599" s="932" t="s">
        <v>6</v>
      </c>
      <c r="F599" s="932" t="s">
        <v>7</v>
      </c>
      <c r="G599" s="932" t="s">
        <v>8</v>
      </c>
      <c r="H599" s="933" t="s">
        <v>9</v>
      </c>
      <c r="I599" s="152"/>
      <c r="J599" s="120"/>
    </row>
    <row r="600" spans="1:10" x14ac:dyDescent="0.3">
      <c r="A600" s="1265"/>
      <c r="B600" s="1260"/>
      <c r="C600" s="934" t="s">
        <v>178</v>
      </c>
      <c r="D600" s="935" t="s">
        <v>78</v>
      </c>
      <c r="E600" s="936" t="s">
        <v>79</v>
      </c>
      <c r="F600" s="936" t="s">
        <v>80</v>
      </c>
      <c r="G600" s="936" t="s">
        <v>80</v>
      </c>
      <c r="H600" s="937" t="s">
        <v>13</v>
      </c>
      <c r="I600" s="152"/>
      <c r="J600" s="120"/>
    </row>
    <row r="601" spans="1:10" ht="17.100000000000001" customHeight="1" x14ac:dyDescent="0.3">
      <c r="A601" s="938">
        <v>1</v>
      </c>
      <c r="B601" s="939" t="s">
        <v>240</v>
      </c>
      <c r="C601" s="779">
        <f t="shared" ref="C601:H601" si="119">C23</f>
        <v>1484</v>
      </c>
      <c r="D601" s="779">
        <f t="shared" si="119"/>
        <v>9263.32</v>
      </c>
      <c r="E601" s="779">
        <f t="shared" si="119"/>
        <v>11972601.710000001</v>
      </c>
      <c r="F601" s="779">
        <f t="shared" si="119"/>
        <v>9107235634</v>
      </c>
      <c r="G601" s="779">
        <f t="shared" si="119"/>
        <v>2131456597</v>
      </c>
      <c r="H601" s="779">
        <f t="shared" si="119"/>
        <v>8027</v>
      </c>
      <c r="I601" s="152"/>
      <c r="J601" s="120"/>
    </row>
    <row r="602" spans="1:10" ht="17.100000000000001" customHeight="1" x14ac:dyDescent="0.3">
      <c r="A602" s="938">
        <v>2</v>
      </c>
      <c r="B602" s="939" t="s">
        <v>271</v>
      </c>
      <c r="C602" s="779">
        <f t="shared" ref="C602:H602" si="120">C42</f>
        <v>330</v>
      </c>
      <c r="D602" s="786">
        <f t="shared" si="120"/>
        <v>408.86</v>
      </c>
      <c r="E602" s="779">
        <f t="shared" si="120"/>
        <v>9599678.6199999992</v>
      </c>
      <c r="F602" s="779">
        <f t="shared" si="120"/>
        <v>6527084949</v>
      </c>
      <c r="G602" s="779">
        <f t="shared" si="120"/>
        <v>1229979060</v>
      </c>
      <c r="H602" s="779">
        <f t="shared" si="120"/>
        <v>9135</v>
      </c>
      <c r="I602" s="152"/>
      <c r="J602" s="120"/>
    </row>
    <row r="603" spans="1:10" ht="17.100000000000001" customHeight="1" x14ac:dyDescent="0.3">
      <c r="A603" s="938">
        <v>3</v>
      </c>
      <c r="B603" s="939" t="s">
        <v>242</v>
      </c>
      <c r="C603" s="779">
        <f t="shared" ref="C603:H603" si="121">C58</f>
        <v>157</v>
      </c>
      <c r="D603" s="786">
        <f t="shared" si="121"/>
        <v>357.87</v>
      </c>
      <c r="E603" s="779">
        <f t="shared" si="121"/>
        <v>2312042.0299999998</v>
      </c>
      <c r="F603" s="779">
        <f t="shared" si="121"/>
        <v>2590710590</v>
      </c>
      <c r="G603" s="779">
        <f t="shared" si="121"/>
        <v>475032971</v>
      </c>
      <c r="H603" s="779">
        <f t="shared" si="121"/>
        <v>718</v>
      </c>
      <c r="I603" s="152"/>
      <c r="J603" s="120"/>
    </row>
    <row r="604" spans="1:10" ht="17.100000000000001" customHeight="1" x14ac:dyDescent="0.3">
      <c r="A604" s="938">
        <v>4</v>
      </c>
      <c r="B604" s="939" t="s">
        <v>282</v>
      </c>
      <c r="C604" s="779">
        <f t="shared" ref="C604:H604" si="122">C89</f>
        <v>48</v>
      </c>
      <c r="D604" s="786">
        <f t="shared" si="122"/>
        <v>895.78430000000003</v>
      </c>
      <c r="E604" s="779">
        <f t="shared" si="122"/>
        <v>817292.55599999998</v>
      </c>
      <c r="F604" s="779">
        <f t="shared" si="122"/>
        <v>134161944.962</v>
      </c>
      <c r="G604" s="779">
        <f t="shared" si="122"/>
        <v>128950816.59999999</v>
      </c>
      <c r="H604" s="779">
        <f t="shared" si="122"/>
        <v>250</v>
      </c>
      <c r="I604" s="152"/>
      <c r="J604" s="120"/>
    </row>
    <row r="605" spans="1:10" ht="17.100000000000001" customHeight="1" x14ac:dyDescent="0.3">
      <c r="A605" s="938">
        <v>5</v>
      </c>
      <c r="B605" s="939" t="s">
        <v>243</v>
      </c>
      <c r="C605" s="779">
        <f t="shared" ref="C605:H605" si="123">C77</f>
        <v>531</v>
      </c>
      <c r="D605" s="779">
        <f t="shared" si="123"/>
        <v>10447.66</v>
      </c>
      <c r="E605" s="779">
        <f t="shared" si="123"/>
        <v>10299592</v>
      </c>
      <c r="F605" s="779">
        <f t="shared" si="123"/>
        <v>3885429586</v>
      </c>
      <c r="G605" s="779">
        <f t="shared" si="123"/>
        <v>1044688953</v>
      </c>
      <c r="H605" s="779">
        <f t="shared" si="123"/>
        <v>5272</v>
      </c>
      <c r="I605" s="152"/>
      <c r="J605" s="120"/>
    </row>
    <row r="606" spans="1:10" ht="17.100000000000001" customHeight="1" x14ac:dyDescent="0.3">
      <c r="A606" s="938">
        <v>6</v>
      </c>
      <c r="B606" s="939" t="s">
        <v>244</v>
      </c>
      <c r="C606" s="779">
        <f t="shared" ref="C606:H606" si="124">C105</f>
        <v>685</v>
      </c>
      <c r="D606" s="779">
        <f t="shared" si="124"/>
        <v>2768.1239999999998</v>
      </c>
      <c r="E606" s="779">
        <f t="shared" si="124"/>
        <v>22023523.649999999</v>
      </c>
      <c r="F606" s="779">
        <f t="shared" si="124"/>
        <v>4443173543</v>
      </c>
      <c r="G606" s="779">
        <f t="shared" si="124"/>
        <v>1345174277</v>
      </c>
      <c r="H606" s="779">
        <f t="shared" si="124"/>
        <v>8025</v>
      </c>
      <c r="I606" s="152"/>
      <c r="J606" s="120"/>
    </row>
    <row r="607" spans="1:10" ht="17.100000000000001" customHeight="1" x14ac:dyDescent="0.3">
      <c r="A607" s="938">
        <v>7</v>
      </c>
      <c r="B607" s="939" t="s">
        <v>245</v>
      </c>
      <c r="C607" s="779">
        <f t="shared" ref="C607:H607" si="125">C130</f>
        <v>1511</v>
      </c>
      <c r="D607" s="779">
        <f t="shared" si="125"/>
        <v>14072.806099999998</v>
      </c>
      <c r="E607" s="779">
        <f t="shared" si="125"/>
        <v>15775102.896647435</v>
      </c>
      <c r="F607" s="779">
        <f t="shared" si="125"/>
        <v>11860691219.770153</v>
      </c>
      <c r="G607" s="779">
        <f t="shared" si="125"/>
        <v>2130113251</v>
      </c>
      <c r="H607" s="779">
        <f t="shared" si="125"/>
        <v>17134</v>
      </c>
      <c r="I607" s="152"/>
      <c r="J607" s="120"/>
    </row>
    <row r="608" spans="1:10" ht="17.100000000000001" customHeight="1" x14ac:dyDescent="0.3">
      <c r="A608" s="938">
        <v>8</v>
      </c>
      <c r="B608" s="939" t="s">
        <v>246</v>
      </c>
      <c r="C608" s="779">
        <f t="shared" ref="C608:H608" si="126">C145</f>
        <v>376</v>
      </c>
      <c r="D608" s="779">
        <f t="shared" si="126"/>
        <v>10797.97</v>
      </c>
      <c r="E608" s="779">
        <f t="shared" si="126"/>
        <v>14552921.3125</v>
      </c>
      <c r="F608" s="779">
        <f t="shared" si="126"/>
        <v>9475599087.625</v>
      </c>
      <c r="G608" s="779">
        <f t="shared" si="126"/>
        <v>1811272232</v>
      </c>
      <c r="H608" s="779">
        <f t="shared" si="126"/>
        <v>2335</v>
      </c>
      <c r="I608" s="152"/>
      <c r="J608" s="120"/>
    </row>
    <row r="609" spans="1:10" ht="17.100000000000001" customHeight="1" x14ac:dyDescent="0.3">
      <c r="A609" s="938">
        <v>9</v>
      </c>
      <c r="B609" s="939" t="s">
        <v>247</v>
      </c>
      <c r="C609" s="786">
        <f t="shared" ref="C609:H609" si="127">C161</f>
        <v>644</v>
      </c>
      <c r="D609" s="786">
        <f t="shared" si="127"/>
        <v>1863.9532999999997</v>
      </c>
      <c r="E609" s="786">
        <f t="shared" si="127"/>
        <v>2240734.0200000005</v>
      </c>
      <c r="F609" s="786">
        <f t="shared" si="127"/>
        <v>1480151554.4000001</v>
      </c>
      <c r="G609" s="786">
        <f t="shared" si="127"/>
        <v>620072201</v>
      </c>
      <c r="H609" s="786">
        <f t="shared" si="127"/>
        <v>8010</v>
      </c>
      <c r="I609" s="152"/>
      <c r="J609" s="120"/>
    </row>
    <row r="610" spans="1:10" ht="17.100000000000001" customHeight="1" x14ac:dyDescent="0.3">
      <c r="A610" s="938">
        <v>10</v>
      </c>
      <c r="B610" s="939" t="s">
        <v>248</v>
      </c>
      <c r="C610" s="786">
        <f t="shared" ref="C610:H610" si="128">C188</f>
        <v>199</v>
      </c>
      <c r="D610" s="786">
        <f t="shared" si="128"/>
        <v>2779.2966999999999</v>
      </c>
      <c r="E610" s="786">
        <f t="shared" si="128"/>
        <v>4671475.429354839</v>
      </c>
      <c r="F610" s="786">
        <f t="shared" si="128"/>
        <v>2353919997.212903</v>
      </c>
      <c r="G610" s="786">
        <f t="shared" si="128"/>
        <v>583940169</v>
      </c>
      <c r="H610" s="786">
        <f t="shared" si="128"/>
        <v>7127</v>
      </c>
      <c r="I610" s="152"/>
      <c r="J610" s="120"/>
    </row>
    <row r="611" spans="1:10" ht="17.100000000000001" customHeight="1" x14ac:dyDescent="0.3">
      <c r="A611" s="938">
        <v>11</v>
      </c>
      <c r="B611" s="939" t="s">
        <v>284</v>
      </c>
      <c r="C611" s="786">
        <f t="shared" ref="C611:H611" si="129">C200</f>
        <v>179</v>
      </c>
      <c r="D611" s="786">
        <f t="shared" si="129"/>
        <v>215.69</v>
      </c>
      <c r="E611" s="786">
        <f t="shared" si="129"/>
        <v>8234120</v>
      </c>
      <c r="F611" s="786">
        <f t="shared" si="129"/>
        <v>1600219257</v>
      </c>
      <c r="G611" s="786">
        <f t="shared" si="129"/>
        <v>478303457</v>
      </c>
      <c r="H611" s="786">
        <f t="shared" si="129"/>
        <v>735</v>
      </c>
      <c r="I611" s="152"/>
      <c r="J611" s="120"/>
    </row>
    <row r="612" spans="1:10" ht="17.100000000000001" customHeight="1" x14ac:dyDescent="0.3">
      <c r="A612" s="938">
        <v>12</v>
      </c>
      <c r="B612" s="939" t="s">
        <v>249</v>
      </c>
      <c r="C612" s="779">
        <f t="shared" ref="C612:H612" si="130">C219</f>
        <v>123</v>
      </c>
      <c r="D612" s="786">
        <f t="shared" si="130"/>
        <v>3355.7358000000004</v>
      </c>
      <c r="E612" s="779">
        <f t="shared" si="130"/>
        <v>5988955</v>
      </c>
      <c r="F612" s="779">
        <f t="shared" si="130"/>
        <v>792263540</v>
      </c>
      <c r="G612" s="779">
        <f t="shared" si="130"/>
        <v>262415251</v>
      </c>
      <c r="H612" s="779">
        <f t="shared" si="130"/>
        <v>903</v>
      </c>
      <c r="I612" s="152"/>
      <c r="J612" s="120"/>
    </row>
    <row r="613" spans="1:10" ht="17.100000000000001" customHeight="1" x14ac:dyDescent="0.3">
      <c r="A613" s="938">
        <v>13</v>
      </c>
      <c r="B613" s="939" t="s">
        <v>285</v>
      </c>
      <c r="C613" s="779">
        <f t="shared" ref="C613:H613" si="131">C230</f>
        <v>137</v>
      </c>
      <c r="D613" s="786">
        <f t="shared" si="131"/>
        <v>392.53309999999999</v>
      </c>
      <c r="E613" s="779">
        <f t="shared" si="131"/>
        <v>1420825.3900000001</v>
      </c>
      <c r="F613" s="779">
        <f t="shared" si="131"/>
        <v>631465670</v>
      </c>
      <c r="G613" s="779">
        <f t="shared" si="131"/>
        <v>118828339.7</v>
      </c>
      <c r="H613" s="779">
        <f t="shared" si="131"/>
        <v>1365</v>
      </c>
      <c r="I613" s="152"/>
      <c r="J613" s="120"/>
    </row>
    <row r="614" spans="1:10" ht="17.100000000000001" customHeight="1" x14ac:dyDescent="0.3">
      <c r="A614" s="938">
        <v>14</v>
      </c>
      <c r="B614" s="939" t="s">
        <v>250</v>
      </c>
      <c r="C614" s="779">
        <f t="shared" ref="C614:H614" si="132">C245</f>
        <v>171</v>
      </c>
      <c r="D614" s="786">
        <f t="shared" si="132"/>
        <v>579.07999999999993</v>
      </c>
      <c r="E614" s="779">
        <f t="shared" si="132"/>
        <v>1159838.46</v>
      </c>
      <c r="F614" s="779">
        <f t="shared" si="132"/>
        <v>706431408</v>
      </c>
      <c r="G614" s="779">
        <f t="shared" si="132"/>
        <v>223665904</v>
      </c>
      <c r="H614" s="779">
        <f t="shared" si="132"/>
        <v>1650</v>
      </c>
      <c r="I614" s="152"/>
      <c r="J614" s="120"/>
    </row>
    <row r="615" spans="1:10" ht="17.100000000000001" customHeight="1" x14ac:dyDescent="0.3">
      <c r="A615" s="938">
        <v>15</v>
      </c>
      <c r="B615" s="939" t="s">
        <v>251</v>
      </c>
      <c r="C615" s="786">
        <f t="shared" ref="C615:H615" si="133">C255</f>
        <v>80</v>
      </c>
      <c r="D615" s="786">
        <f t="shared" si="133"/>
        <v>280.3</v>
      </c>
      <c r="E615" s="786">
        <f t="shared" si="133"/>
        <v>5102351</v>
      </c>
      <c r="F615" s="786">
        <f t="shared" si="133"/>
        <v>1491180990</v>
      </c>
      <c r="G615" s="786">
        <f t="shared" si="133"/>
        <v>330418070</v>
      </c>
      <c r="H615" s="786">
        <f t="shared" si="133"/>
        <v>3820</v>
      </c>
      <c r="I615" s="152"/>
      <c r="J615" s="120"/>
    </row>
    <row r="616" spans="1:10" ht="17.100000000000001" customHeight="1" x14ac:dyDescent="0.3">
      <c r="A616" s="938">
        <v>16</v>
      </c>
      <c r="B616" s="939" t="s">
        <v>252</v>
      </c>
      <c r="C616" s="786">
        <f t="shared" ref="C616:H616" si="134">C304</f>
        <v>1169</v>
      </c>
      <c r="D616" s="786">
        <f t="shared" si="134"/>
        <v>4766.2299999999987</v>
      </c>
      <c r="E616" s="786">
        <f t="shared" si="134"/>
        <v>28175845.629999999</v>
      </c>
      <c r="F616" s="786">
        <f t="shared" si="134"/>
        <v>8988190940</v>
      </c>
      <c r="G616" s="786">
        <f t="shared" si="134"/>
        <v>1871124451.45</v>
      </c>
      <c r="H616" s="786">
        <f t="shared" si="134"/>
        <v>18843</v>
      </c>
      <c r="I616" s="152"/>
      <c r="J616" s="120"/>
    </row>
    <row r="617" spans="1:10" ht="17.100000000000001" customHeight="1" x14ac:dyDescent="0.3">
      <c r="A617" s="938">
        <v>17</v>
      </c>
      <c r="B617" s="939" t="s">
        <v>272</v>
      </c>
      <c r="C617" s="779">
        <f t="shared" ref="C617:H617" si="135">C277</f>
        <v>481</v>
      </c>
      <c r="D617" s="786">
        <f t="shared" si="135"/>
        <v>2026.9243999999999</v>
      </c>
      <c r="E617" s="779">
        <f t="shared" si="135"/>
        <v>1536767.69</v>
      </c>
      <c r="F617" s="779">
        <f t="shared" si="135"/>
        <v>1043855993.1999998</v>
      </c>
      <c r="G617" s="779">
        <f t="shared" si="135"/>
        <v>654958962</v>
      </c>
      <c r="H617" s="779">
        <f t="shared" si="135"/>
        <v>3785</v>
      </c>
      <c r="I617" s="152"/>
      <c r="J617" s="120"/>
    </row>
    <row r="618" spans="1:10" ht="17.100000000000001" customHeight="1" x14ac:dyDescent="0.3">
      <c r="A618" s="938">
        <v>18</v>
      </c>
      <c r="B618" s="939" t="s">
        <v>255</v>
      </c>
      <c r="C618" s="779">
        <f t="shared" ref="C618:H618" si="136">C318</f>
        <v>615</v>
      </c>
      <c r="D618" s="786">
        <f t="shared" si="136"/>
        <v>1280.607</v>
      </c>
      <c r="E618" s="779">
        <f t="shared" si="136"/>
        <v>2990784.37</v>
      </c>
      <c r="F618" s="779">
        <f t="shared" si="136"/>
        <v>2328632226</v>
      </c>
      <c r="G618" s="779">
        <f t="shared" si="136"/>
        <v>550473690</v>
      </c>
      <c r="H618" s="779">
        <f t="shared" si="136"/>
        <v>6643</v>
      </c>
      <c r="I618" s="152"/>
      <c r="J618" s="120"/>
    </row>
    <row r="619" spans="1:10" ht="17.100000000000001" customHeight="1" x14ac:dyDescent="0.3">
      <c r="A619" s="938">
        <v>19</v>
      </c>
      <c r="B619" s="939" t="s">
        <v>286</v>
      </c>
      <c r="C619" s="779">
        <f t="shared" ref="C619:H619" si="137">C333</f>
        <v>153</v>
      </c>
      <c r="D619" s="786">
        <f t="shared" si="137"/>
        <v>3265.58</v>
      </c>
      <c r="E619" s="779">
        <f t="shared" si="137"/>
        <v>4518941</v>
      </c>
      <c r="F619" s="779">
        <f t="shared" si="137"/>
        <v>2298418487</v>
      </c>
      <c r="G619" s="779">
        <f t="shared" si="137"/>
        <v>379965763</v>
      </c>
      <c r="H619" s="779">
        <f t="shared" si="137"/>
        <v>1113</v>
      </c>
    </row>
    <row r="620" spans="1:10" ht="17.100000000000001" customHeight="1" x14ac:dyDescent="0.3">
      <c r="A620" s="938">
        <v>20</v>
      </c>
      <c r="B620" s="939" t="s">
        <v>256</v>
      </c>
      <c r="C620" s="779">
        <f t="shared" ref="C620:H620" si="138">C352</f>
        <v>439</v>
      </c>
      <c r="D620" s="786">
        <f t="shared" si="138"/>
        <v>912.22250000000008</v>
      </c>
      <c r="E620" s="779">
        <f t="shared" si="138"/>
        <v>20372760</v>
      </c>
      <c r="F620" s="779">
        <f t="shared" si="138"/>
        <v>4924044524</v>
      </c>
      <c r="G620" s="779">
        <f t="shared" si="138"/>
        <v>1178481000</v>
      </c>
      <c r="H620" s="779">
        <f t="shared" si="138"/>
        <v>4295</v>
      </c>
      <c r="I620" s="152"/>
      <c r="J620" s="120"/>
    </row>
    <row r="621" spans="1:10" ht="17.100000000000001" customHeight="1" x14ac:dyDescent="0.3">
      <c r="A621" s="938">
        <v>21</v>
      </c>
      <c r="B621" s="939" t="s">
        <v>257</v>
      </c>
      <c r="C621" s="779">
        <f t="shared" ref="C621:H621" si="139">C369</f>
        <v>617</v>
      </c>
      <c r="D621" s="779">
        <f t="shared" si="139"/>
        <v>9180.08</v>
      </c>
      <c r="E621" s="779">
        <f t="shared" si="139"/>
        <v>22982450.059999999</v>
      </c>
      <c r="F621" s="779">
        <f t="shared" si="139"/>
        <v>9178249056.1500015</v>
      </c>
      <c r="G621" s="779">
        <f t="shared" si="139"/>
        <v>3143597926</v>
      </c>
      <c r="H621" s="779">
        <f t="shared" si="139"/>
        <v>40308</v>
      </c>
      <c r="I621" s="152"/>
      <c r="J621" s="120"/>
    </row>
    <row r="622" spans="1:10" ht="17.100000000000001" customHeight="1" x14ac:dyDescent="0.3">
      <c r="A622" s="938">
        <v>22</v>
      </c>
      <c r="B622" s="939" t="s">
        <v>273</v>
      </c>
      <c r="C622" s="779">
        <f t="shared" ref="C622:H622" si="140">C387</f>
        <v>271</v>
      </c>
      <c r="D622" s="786">
        <f t="shared" si="140"/>
        <v>3620.0499999999997</v>
      </c>
      <c r="E622" s="779">
        <f t="shared" si="140"/>
        <v>1486362</v>
      </c>
      <c r="F622" s="779">
        <f t="shared" si="140"/>
        <v>546721710</v>
      </c>
      <c r="G622" s="779">
        <f t="shared" si="140"/>
        <v>436652501</v>
      </c>
      <c r="H622" s="779">
        <f t="shared" si="140"/>
        <v>369</v>
      </c>
      <c r="I622" s="152"/>
      <c r="J622" s="120"/>
    </row>
    <row r="623" spans="1:10" ht="17.100000000000001" customHeight="1" x14ac:dyDescent="0.3">
      <c r="A623" s="938">
        <v>23</v>
      </c>
      <c r="B623" s="939" t="s">
        <v>274</v>
      </c>
      <c r="C623" s="786">
        <f t="shared" ref="C623:H623" si="141">C400</f>
        <v>151</v>
      </c>
      <c r="D623" s="786">
        <f t="shared" si="141"/>
        <v>1760.8500000000001</v>
      </c>
      <c r="E623" s="786">
        <f t="shared" si="141"/>
        <v>17105772</v>
      </c>
      <c r="F623" s="786">
        <f t="shared" si="141"/>
        <v>1942470929</v>
      </c>
      <c r="G623" s="786">
        <f t="shared" si="141"/>
        <v>1108436012</v>
      </c>
      <c r="H623" s="786">
        <f t="shared" si="141"/>
        <v>923</v>
      </c>
      <c r="J623" s="120"/>
    </row>
    <row r="624" spans="1:10" ht="17.100000000000001" customHeight="1" x14ac:dyDescent="0.3">
      <c r="A624" s="938">
        <v>24</v>
      </c>
      <c r="B624" s="939" t="s">
        <v>259</v>
      </c>
      <c r="C624" s="779">
        <f t="shared" ref="C624:H624" si="142">C420</f>
        <v>1209</v>
      </c>
      <c r="D624" s="779">
        <f t="shared" si="142"/>
        <v>10597.005400000002</v>
      </c>
      <c r="E624" s="779">
        <f t="shared" si="142"/>
        <v>21864479.93</v>
      </c>
      <c r="F624" s="779">
        <f t="shared" si="142"/>
        <v>9792011298</v>
      </c>
      <c r="G624" s="779">
        <f t="shared" si="142"/>
        <v>2895930705</v>
      </c>
      <c r="H624" s="779">
        <f t="shared" si="142"/>
        <v>15942</v>
      </c>
      <c r="J624" s="120"/>
    </row>
    <row r="625" spans="1:10" ht="17.100000000000001" customHeight="1" x14ac:dyDescent="0.3">
      <c r="A625" s="938">
        <v>25</v>
      </c>
      <c r="B625" s="939" t="s">
        <v>260</v>
      </c>
      <c r="C625" s="779">
        <f t="shared" ref="C625:H625" si="143">C440</f>
        <v>596</v>
      </c>
      <c r="D625" s="779">
        <f t="shared" si="143"/>
        <v>23260.32</v>
      </c>
      <c r="E625" s="779">
        <f t="shared" si="143"/>
        <v>11401461</v>
      </c>
      <c r="F625" s="779">
        <f t="shared" si="143"/>
        <v>5761971871</v>
      </c>
      <c r="G625" s="779">
        <f t="shared" si="143"/>
        <v>1416028615</v>
      </c>
      <c r="H625" s="779">
        <f t="shared" si="143"/>
        <v>4718</v>
      </c>
    </row>
    <row r="626" spans="1:10" ht="17.100000000000001" customHeight="1" x14ac:dyDescent="0.25">
      <c r="A626" s="938">
        <v>26</v>
      </c>
      <c r="B626" s="939" t="s">
        <v>261</v>
      </c>
      <c r="C626" s="786">
        <f t="shared" ref="C626:H626" si="144">C459</f>
        <v>125</v>
      </c>
      <c r="D626" s="786">
        <f t="shared" si="144"/>
        <v>1739.6599999999999</v>
      </c>
      <c r="E626" s="786">
        <f t="shared" si="144"/>
        <v>2647994</v>
      </c>
      <c r="F626" s="786">
        <f t="shared" si="144"/>
        <v>1387581576</v>
      </c>
      <c r="G626" s="786">
        <f t="shared" si="144"/>
        <v>187863061.30000001</v>
      </c>
      <c r="H626" s="786">
        <f t="shared" si="144"/>
        <v>1230</v>
      </c>
      <c r="I626" s="120"/>
      <c r="J626" s="120"/>
    </row>
    <row r="627" spans="1:10" ht="17.100000000000001" customHeight="1" x14ac:dyDescent="0.25">
      <c r="A627" s="938">
        <v>27</v>
      </c>
      <c r="B627" s="939" t="s">
        <v>275</v>
      </c>
      <c r="C627" s="779">
        <f t="shared" ref="C627:H627" si="145">C484</f>
        <v>2225</v>
      </c>
      <c r="D627" s="779">
        <f t="shared" si="145"/>
        <v>8503.7492000000002</v>
      </c>
      <c r="E627" s="779">
        <f t="shared" si="145"/>
        <v>22350080.020202022</v>
      </c>
      <c r="F627" s="779">
        <f t="shared" si="145"/>
        <v>19186877335.838383</v>
      </c>
      <c r="G627" s="779">
        <f t="shared" si="145"/>
        <v>2691113863</v>
      </c>
      <c r="H627" s="779">
        <f t="shared" si="145"/>
        <v>24713</v>
      </c>
      <c r="I627" s="120"/>
      <c r="J627" s="120"/>
    </row>
    <row r="628" spans="1:10" ht="17.100000000000001" customHeight="1" x14ac:dyDescent="0.25">
      <c r="A628" s="938">
        <v>28</v>
      </c>
      <c r="B628" s="939" t="s">
        <v>276</v>
      </c>
      <c r="C628" s="779">
        <f t="shared" ref="C628:H628" si="146">C500</f>
        <v>50</v>
      </c>
      <c r="D628" s="786">
        <f t="shared" si="146"/>
        <v>1225.72</v>
      </c>
      <c r="E628" s="779">
        <f t="shared" si="146"/>
        <v>3609921</v>
      </c>
      <c r="F628" s="779">
        <f t="shared" si="146"/>
        <v>1384953888</v>
      </c>
      <c r="G628" s="779">
        <f t="shared" si="146"/>
        <v>233017111</v>
      </c>
      <c r="H628" s="779">
        <f t="shared" si="146"/>
        <v>1125</v>
      </c>
      <c r="I628" s="120"/>
      <c r="J628" s="120"/>
    </row>
    <row r="629" spans="1:10" ht="17.100000000000001" customHeight="1" x14ac:dyDescent="0.25">
      <c r="A629" s="938">
        <v>29</v>
      </c>
      <c r="B629" s="939" t="s">
        <v>277</v>
      </c>
      <c r="C629" s="786">
        <f t="shared" ref="C629:H629" si="147">C509</f>
        <v>8</v>
      </c>
      <c r="D629" s="786">
        <f t="shared" si="147"/>
        <v>670.38</v>
      </c>
      <c r="E629" s="786">
        <f t="shared" si="147"/>
        <v>4775508</v>
      </c>
      <c r="F629" s="786">
        <f t="shared" si="147"/>
        <v>1770381645</v>
      </c>
      <c r="G629" s="786">
        <f t="shared" si="147"/>
        <v>321699463</v>
      </c>
      <c r="H629" s="786">
        <f t="shared" si="147"/>
        <v>490</v>
      </c>
      <c r="I629" s="120"/>
      <c r="J629" s="120"/>
    </row>
    <row r="630" spans="1:10" ht="17.100000000000001" customHeight="1" x14ac:dyDescent="0.25">
      <c r="A630" s="938">
        <v>30</v>
      </c>
      <c r="B630" s="939" t="s">
        <v>264</v>
      </c>
      <c r="C630" s="779">
        <f t="shared" ref="C630:H630" si="148">C531</f>
        <v>668</v>
      </c>
      <c r="D630" s="779">
        <f t="shared" si="148"/>
        <v>1918.35</v>
      </c>
      <c r="E630" s="779">
        <f t="shared" si="148"/>
        <v>24128735.068709679</v>
      </c>
      <c r="F630" s="779">
        <f t="shared" si="148"/>
        <v>6039930201.6395674</v>
      </c>
      <c r="G630" s="779">
        <f t="shared" si="148"/>
        <v>1304162008</v>
      </c>
      <c r="H630" s="779">
        <f t="shared" si="148"/>
        <v>4810</v>
      </c>
      <c r="I630" s="120"/>
      <c r="J630" s="120"/>
    </row>
    <row r="631" spans="1:10" ht="17.100000000000001" customHeight="1" x14ac:dyDescent="0.25">
      <c r="A631" s="938">
        <v>31</v>
      </c>
      <c r="B631" s="939" t="s">
        <v>265</v>
      </c>
      <c r="C631" s="779">
        <f t="shared" ref="C631:H631" si="149">C548</f>
        <v>441</v>
      </c>
      <c r="D631" s="786">
        <f t="shared" si="149"/>
        <v>3391.56</v>
      </c>
      <c r="E631" s="779">
        <f t="shared" si="149"/>
        <v>3722891</v>
      </c>
      <c r="F631" s="779">
        <f t="shared" si="149"/>
        <v>3757049442</v>
      </c>
      <c r="G631" s="779">
        <f t="shared" si="149"/>
        <v>628030635</v>
      </c>
      <c r="H631" s="779">
        <f t="shared" si="149"/>
        <v>5082</v>
      </c>
      <c r="I631" s="120"/>
      <c r="J631" s="120"/>
    </row>
    <row r="632" spans="1:10" ht="17.100000000000001" customHeight="1" x14ac:dyDescent="0.25">
      <c r="A632" s="938">
        <v>32</v>
      </c>
      <c r="B632" s="939" t="s">
        <v>278</v>
      </c>
      <c r="C632" s="779">
        <f t="shared" ref="C632:H632" si="150">C565</f>
        <v>369</v>
      </c>
      <c r="D632" s="786">
        <f t="shared" si="150"/>
        <v>4923.3700000000008</v>
      </c>
      <c r="E632" s="779">
        <f t="shared" si="150"/>
        <v>10078375</v>
      </c>
      <c r="F632" s="779">
        <f t="shared" si="150"/>
        <v>7102223846</v>
      </c>
      <c r="G632" s="779">
        <f t="shared" si="150"/>
        <v>807956559</v>
      </c>
      <c r="H632" s="779">
        <f t="shared" si="150"/>
        <v>2480</v>
      </c>
      <c r="I632" s="120"/>
      <c r="J632" s="120"/>
    </row>
    <row r="633" spans="1:10" ht="17.100000000000001" customHeight="1" x14ac:dyDescent="0.25">
      <c r="A633" s="938">
        <v>33</v>
      </c>
      <c r="B633" s="939" t="s">
        <v>267</v>
      </c>
      <c r="C633" s="779">
        <f t="shared" ref="C633:H633" si="151">C593</f>
        <v>763</v>
      </c>
      <c r="D633" s="779">
        <f t="shared" si="151"/>
        <v>21672.83</v>
      </c>
      <c r="E633" s="779">
        <f t="shared" si="151"/>
        <v>8068370</v>
      </c>
      <c r="F633" s="779">
        <f t="shared" si="151"/>
        <v>4504698326.6846304</v>
      </c>
      <c r="G633" s="779">
        <f t="shared" si="151"/>
        <v>1157949025</v>
      </c>
      <c r="H633" s="779">
        <f t="shared" si="151"/>
        <v>5763</v>
      </c>
      <c r="I633" s="120"/>
      <c r="J633" s="120"/>
    </row>
    <row r="634" spans="1:10" ht="15" x14ac:dyDescent="0.25">
      <c r="A634" s="1219" t="s">
        <v>237</v>
      </c>
      <c r="B634" s="1220"/>
      <c r="C634" s="790">
        <f t="shared" ref="C634:H634" si="152">SUM(C601:C633)</f>
        <v>17005</v>
      </c>
      <c r="D634" s="1017">
        <f t="shared" si="152"/>
        <v>163194.47180000006</v>
      </c>
      <c r="E634" s="790">
        <f t="shared" si="152"/>
        <v>327988551.84341395</v>
      </c>
      <c r="F634" s="790">
        <f t="shared" si="152"/>
        <v>149017982266.48267</v>
      </c>
      <c r="G634" s="790">
        <f t="shared" si="152"/>
        <v>33881752900.049999</v>
      </c>
      <c r="H634" s="790">
        <f t="shared" si="152"/>
        <v>217138</v>
      </c>
      <c r="I634" s="120"/>
      <c r="J634" s="120"/>
    </row>
    <row r="636" spans="1:10" ht="15.75" x14ac:dyDescent="0.25">
      <c r="B636" s="153" t="s">
        <v>291</v>
      </c>
      <c r="C636" s="22">
        <f>'Office Minor'!C870</f>
        <v>17005</v>
      </c>
      <c r="D636" s="22">
        <f>'Office Minor'!D870</f>
        <v>163194.47180000006</v>
      </c>
      <c r="E636" s="22">
        <f>'Office Minor'!E870</f>
        <v>327988551.84341395</v>
      </c>
      <c r="F636" s="22">
        <f>'Office Minor'!F870</f>
        <v>149017982266.48264</v>
      </c>
      <c r="G636" s="22">
        <f>'Office Minor'!G870</f>
        <v>33881752900.049999</v>
      </c>
      <c r="H636" s="22">
        <f>'Office Minor'!H870</f>
        <v>217138</v>
      </c>
      <c r="I636" s="120"/>
      <c r="J636" s="120"/>
    </row>
    <row r="637" spans="1:10" ht="15.75" x14ac:dyDescent="0.25">
      <c r="C637" s="18"/>
      <c r="D637" s="18"/>
      <c r="E637" s="18"/>
      <c r="F637" s="18"/>
      <c r="G637" s="18"/>
      <c r="H637" s="18"/>
      <c r="I637" s="120"/>
      <c r="J637" s="120"/>
    </row>
    <row r="638" spans="1:10" ht="15.75" x14ac:dyDescent="0.25">
      <c r="C638" s="22">
        <f>C636-C634</f>
        <v>0</v>
      </c>
      <c r="D638" s="22">
        <f t="shared" ref="D638:H638" si="153">D636-D634</f>
        <v>0</v>
      </c>
      <c r="E638" s="22">
        <f t="shared" si="153"/>
        <v>0</v>
      </c>
      <c r="F638" s="22">
        <f t="shared" si="153"/>
        <v>0</v>
      </c>
      <c r="G638" s="22">
        <f t="shared" si="153"/>
        <v>0</v>
      </c>
      <c r="H638" s="22">
        <f t="shared" si="153"/>
        <v>0</v>
      </c>
      <c r="I638" s="120"/>
      <c r="J638" s="120"/>
    </row>
    <row r="640" spans="1:10" x14ac:dyDescent="0.3">
      <c r="I640" s="764"/>
    </row>
    <row r="641" spans="9:9" x14ac:dyDescent="0.3">
      <c r="I641" s="764"/>
    </row>
  </sheetData>
  <mergeCells count="178">
    <mergeCell ref="A422:H422"/>
    <mergeCell ref="A443:A444"/>
    <mergeCell ref="A423:A424"/>
    <mergeCell ref="B423:B424"/>
    <mergeCell ref="C423:C424"/>
    <mergeCell ref="D441:F441"/>
    <mergeCell ref="C512:C513"/>
    <mergeCell ref="A462:A463"/>
    <mergeCell ref="B462:B463"/>
    <mergeCell ref="C462:C463"/>
    <mergeCell ref="A487:A488"/>
    <mergeCell ref="B487:B488"/>
    <mergeCell ref="C487:C488"/>
    <mergeCell ref="A502:H502"/>
    <mergeCell ref="A486:H486"/>
    <mergeCell ref="A511:H511"/>
    <mergeCell ref="A461:H461"/>
    <mergeCell ref="A442:H442"/>
    <mergeCell ref="A440:B440"/>
    <mergeCell ref="A233:A234"/>
    <mergeCell ref="B233:B234"/>
    <mergeCell ref="C233:C234"/>
    <mergeCell ref="B551:B552"/>
    <mergeCell ref="C551:C552"/>
    <mergeCell ref="A503:A504"/>
    <mergeCell ref="B503:B504"/>
    <mergeCell ref="C503:C504"/>
    <mergeCell ref="A512:A513"/>
    <mergeCell ref="B512:B513"/>
    <mergeCell ref="A390:A391"/>
    <mergeCell ref="B390:B391"/>
    <mergeCell ref="C390:C391"/>
    <mergeCell ref="A403:A404"/>
    <mergeCell ref="B403:B404"/>
    <mergeCell ref="C403:C404"/>
    <mergeCell ref="A459:B459"/>
    <mergeCell ref="A484:B484"/>
    <mergeCell ref="A500:B500"/>
    <mergeCell ref="A509:B509"/>
    <mergeCell ref="A531:B531"/>
    <mergeCell ref="B443:B444"/>
    <mergeCell ref="C443:C444"/>
    <mergeCell ref="A420:B420"/>
    <mergeCell ref="A132:H132"/>
    <mergeCell ref="A133:A134"/>
    <mergeCell ref="B133:B134"/>
    <mergeCell ref="C133:C134"/>
    <mergeCell ref="A147:H147"/>
    <mergeCell ref="A148:A149"/>
    <mergeCell ref="B148:B149"/>
    <mergeCell ref="C148:C149"/>
    <mergeCell ref="A203:A204"/>
    <mergeCell ref="B203:B204"/>
    <mergeCell ref="C203:C204"/>
    <mergeCell ref="A145:B145"/>
    <mergeCell ref="A188:B188"/>
    <mergeCell ref="A161:B161"/>
    <mergeCell ref="A200:B200"/>
    <mergeCell ref="C164:C165"/>
    <mergeCell ref="A190:H190"/>
    <mergeCell ref="A191:A192"/>
    <mergeCell ref="B191:B192"/>
    <mergeCell ref="C191:C192"/>
    <mergeCell ref="A202:H202"/>
    <mergeCell ref="A163:H163"/>
    <mergeCell ref="A164:A165"/>
    <mergeCell ref="B164:B165"/>
    <mergeCell ref="A1:H1"/>
    <mergeCell ref="A2:H2"/>
    <mergeCell ref="A3:H3"/>
    <mergeCell ref="A5:H5"/>
    <mergeCell ref="A6:A7"/>
    <mergeCell ref="B6:B7"/>
    <mergeCell ref="C6:C7"/>
    <mergeCell ref="A91:H91"/>
    <mergeCell ref="A92:A93"/>
    <mergeCell ref="B92:B93"/>
    <mergeCell ref="C92:C93"/>
    <mergeCell ref="A25:H25"/>
    <mergeCell ref="A26:A27"/>
    <mergeCell ref="B26:B27"/>
    <mergeCell ref="C26:C27"/>
    <mergeCell ref="A44:H44"/>
    <mergeCell ref="A45:A46"/>
    <mergeCell ref="B45:B46"/>
    <mergeCell ref="C45:C46"/>
    <mergeCell ref="A60:H60"/>
    <mergeCell ref="A23:B23"/>
    <mergeCell ref="A42:B42"/>
    <mergeCell ref="A58:B58"/>
    <mergeCell ref="A61:A62"/>
    <mergeCell ref="A389:H389"/>
    <mergeCell ref="A402:H402"/>
    <mergeCell ref="A371:H371"/>
    <mergeCell ref="A354:H354"/>
    <mergeCell ref="A335:H335"/>
    <mergeCell ref="A320:H320"/>
    <mergeCell ref="A306:H306"/>
    <mergeCell ref="A355:A356"/>
    <mergeCell ref="B355:B356"/>
    <mergeCell ref="C355:C356"/>
    <mergeCell ref="A372:A373"/>
    <mergeCell ref="B372:B373"/>
    <mergeCell ref="C372:C373"/>
    <mergeCell ref="A321:A322"/>
    <mergeCell ref="B321:B322"/>
    <mergeCell ref="C321:C322"/>
    <mergeCell ref="A336:A337"/>
    <mergeCell ref="B336:B337"/>
    <mergeCell ref="A369:B369"/>
    <mergeCell ref="A387:B387"/>
    <mergeCell ref="A400:B400"/>
    <mergeCell ref="A248:A249"/>
    <mergeCell ref="B248:B249"/>
    <mergeCell ref="C248:C249"/>
    <mergeCell ref="A247:H247"/>
    <mergeCell ref="A256:B256"/>
    <mergeCell ref="A304:B304"/>
    <mergeCell ref="A318:B318"/>
    <mergeCell ref="A333:B333"/>
    <mergeCell ref="A352:B352"/>
    <mergeCell ref="A259:A260"/>
    <mergeCell ref="B259:B260"/>
    <mergeCell ref="C259:C260"/>
    <mergeCell ref="A279:H279"/>
    <mergeCell ref="A258:H258"/>
    <mergeCell ref="A280:A281"/>
    <mergeCell ref="B280:B281"/>
    <mergeCell ref="C280:C281"/>
    <mergeCell ref="A277:B277"/>
    <mergeCell ref="C319:G319"/>
    <mergeCell ref="C305:G305"/>
    <mergeCell ref="A307:A308"/>
    <mergeCell ref="B307:B308"/>
    <mergeCell ref="C307:C308"/>
    <mergeCell ref="A232:H232"/>
    <mergeCell ref="A221:H221"/>
    <mergeCell ref="A222:A223"/>
    <mergeCell ref="B222:B223"/>
    <mergeCell ref="C222:C223"/>
    <mergeCell ref="C336:C337"/>
    <mergeCell ref="B61:B62"/>
    <mergeCell ref="C61:C62"/>
    <mergeCell ref="A77:B77"/>
    <mergeCell ref="A89:B89"/>
    <mergeCell ref="A130:B130"/>
    <mergeCell ref="A105:B105"/>
    <mergeCell ref="B108:B109"/>
    <mergeCell ref="C108:C109"/>
    <mergeCell ref="A79:H79"/>
    <mergeCell ref="A80:A81"/>
    <mergeCell ref="B80:B81"/>
    <mergeCell ref="C80:C81"/>
    <mergeCell ref="A107:H107"/>
    <mergeCell ref="A108:A109"/>
    <mergeCell ref="A219:B219"/>
    <mergeCell ref="A230:B230"/>
    <mergeCell ref="A245:B245"/>
    <mergeCell ref="A255:B255"/>
    <mergeCell ref="A634:B634"/>
    <mergeCell ref="A567:H567"/>
    <mergeCell ref="A550:H550"/>
    <mergeCell ref="A533:H533"/>
    <mergeCell ref="A597:H597"/>
    <mergeCell ref="A599:A600"/>
    <mergeCell ref="B599:B600"/>
    <mergeCell ref="A568:A569"/>
    <mergeCell ref="B568:B569"/>
    <mergeCell ref="C568:C569"/>
    <mergeCell ref="A595:H595"/>
    <mergeCell ref="A596:H596"/>
    <mergeCell ref="A534:A535"/>
    <mergeCell ref="B534:B535"/>
    <mergeCell ref="C534:C535"/>
    <mergeCell ref="A551:A552"/>
    <mergeCell ref="A548:B548"/>
    <mergeCell ref="A565:B565"/>
    <mergeCell ref="A593:B593"/>
  </mergeCells>
  <pageMargins left="0.7" right="0.7" top="0.75" bottom="0.75" header="0.3" footer="0.3"/>
  <pageSetup scale="75" orientation="portrait" r:id="rId1"/>
  <rowBreaks count="1" manualBreakCount="1">
    <brk id="59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topLeftCell="A232" zoomScale="93" zoomScaleNormal="93" workbookViewId="0">
      <selection activeCell="A84" sqref="A84:XFD84"/>
    </sheetView>
  </sheetViews>
  <sheetFormatPr defaultColWidth="9.140625" defaultRowHeight="15" x14ac:dyDescent="0.25"/>
  <cols>
    <col min="1" max="1" width="9.140625" style="123"/>
    <col min="2" max="2" width="23" style="123" bestFit="1" customWidth="1"/>
    <col min="3" max="3" width="9.140625" style="123"/>
    <col min="4" max="4" width="10.85546875" style="123" customWidth="1"/>
    <col min="5" max="5" width="11.140625" style="123" bestFit="1" customWidth="1"/>
    <col min="6" max="6" width="17.85546875" style="123" bestFit="1" customWidth="1"/>
    <col min="7" max="7" width="14.5703125" style="123" customWidth="1"/>
    <col min="8" max="8" width="12.7109375" style="123" bestFit="1" customWidth="1"/>
    <col min="9" max="10" width="9.140625" style="123"/>
    <col min="11" max="11" width="10" style="123" customWidth="1"/>
    <col min="12" max="12" width="13.42578125" style="123" customWidth="1"/>
    <col min="13" max="13" width="23.28515625" style="123" customWidth="1"/>
    <col min="14" max="14" width="12.85546875" style="123" bestFit="1" customWidth="1"/>
    <col min="15" max="16384" width="9.140625" style="123"/>
  </cols>
  <sheetData>
    <row r="1" spans="1:15" ht="30.75" x14ac:dyDescent="0.25">
      <c r="A1" s="1139" t="s">
        <v>0</v>
      </c>
      <c r="B1" s="1139"/>
      <c r="C1" s="1139"/>
      <c r="D1" s="1139"/>
      <c r="E1" s="1139"/>
      <c r="F1" s="1139"/>
      <c r="G1" s="1139"/>
      <c r="H1" s="1139"/>
    </row>
    <row r="2" spans="1:15" ht="26.25" customHeight="1" x14ac:dyDescent="0.25">
      <c r="A2" s="1140" t="s">
        <v>437</v>
      </c>
      <c r="B2" s="1140"/>
      <c r="C2" s="1140"/>
      <c r="D2" s="1140"/>
      <c r="E2" s="1140"/>
      <c r="F2" s="1140"/>
      <c r="G2" s="1140"/>
      <c r="H2" s="1140"/>
    </row>
    <row r="3" spans="1:15" ht="22.5" x14ac:dyDescent="0.25">
      <c r="A3" s="1141" t="str">
        <f>Distt.Minor!A597</f>
        <v>Financial Year 2023-24</v>
      </c>
      <c r="B3" s="1141"/>
      <c r="C3" s="1141"/>
      <c r="D3" s="1141"/>
      <c r="E3" s="1141"/>
      <c r="F3" s="1141"/>
      <c r="G3" s="1141"/>
      <c r="H3" s="1141"/>
    </row>
    <row r="4" spans="1:15" s="672" customFormat="1" ht="13.5" customHeight="1" x14ac:dyDescent="0.25">
      <c r="A4" s="678"/>
      <c r="B4" s="678"/>
      <c r="C4" s="678"/>
      <c r="D4" s="678"/>
      <c r="E4" s="678"/>
      <c r="F4" s="678"/>
      <c r="G4" s="678"/>
      <c r="H4" s="678"/>
    </row>
    <row r="5" spans="1:15" s="672" customFormat="1" ht="14.25" customHeight="1" x14ac:dyDescent="0.25">
      <c r="A5" s="1121" t="s">
        <v>465</v>
      </c>
      <c r="B5" s="1121"/>
      <c r="C5" s="1121"/>
      <c r="D5" s="1121"/>
      <c r="E5" s="1121"/>
      <c r="F5" s="1121"/>
      <c r="G5" s="1121"/>
      <c r="H5" s="1121"/>
    </row>
    <row r="6" spans="1:15" s="672" customFormat="1" ht="11.25" customHeight="1" x14ac:dyDescent="0.25">
      <c r="A6" s="124"/>
      <c r="B6" s="124"/>
      <c r="C6" s="40"/>
      <c r="D6" s="134"/>
      <c r="E6" s="124"/>
      <c r="F6" s="124"/>
      <c r="G6" s="124"/>
      <c r="H6" s="124"/>
    </row>
    <row r="7" spans="1:15" s="672" customFormat="1" x14ac:dyDescent="0.25">
      <c r="A7" s="1122" t="s">
        <v>2</v>
      </c>
      <c r="B7" s="1124" t="s">
        <v>270</v>
      </c>
      <c r="C7" s="249" t="s">
        <v>4</v>
      </c>
      <c r="D7" s="249" t="s">
        <v>5</v>
      </c>
      <c r="E7" s="249" t="s">
        <v>6</v>
      </c>
      <c r="F7" s="249" t="s">
        <v>7</v>
      </c>
      <c r="G7" s="249" t="s">
        <v>8</v>
      </c>
      <c r="H7" s="249" t="s">
        <v>9</v>
      </c>
    </row>
    <row r="8" spans="1:15" s="672" customFormat="1" x14ac:dyDescent="0.25">
      <c r="A8" s="1123"/>
      <c r="B8" s="1125"/>
      <c r="C8" s="2" t="s">
        <v>10</v>
      </c>
      <c r="D8" s="2" t="s">
        <v>78</v>
      </c>
      <c r="E8" s="2" t="s">
        <v>79</v>
      </c>
      <c r="F8" s="52" t="s">
        <v>80</v>
      </c>
      <c r="G8" s="52" t="s">
        <v>80</v>
      </c>
      <c r="H8" s="2" t="s">
        <v>13</v>
      </c>
    </row>
    <row r="9" spans="1:15" s="672" customFormat="1" x14ac:dyDescent="0.25">
      <c r="A9" s="166">
        <v>1</v>
      </c>
      <c r="B9" s="19" t="s">
        <v>245</v>
      </c>
      <c r="C9" s="166">
        <f>Distt.Major!C45</f>
        <v>0</v>
      </c>
      <c r="D9" s="166">
        <f>Distt.Major!D45</f>
        <v>0</v>
      </c>
      <c r="E9" s="166">
        <f>Distt.Major!E45</f>
        <v>0</v>
      </c>
      <c r="F9" s="166">
        <f>Distt.Major!F45</f>
        <v>0</v>
      </c>
      <c r="G9" s="166">
        <f>Distt.Major!G45</f>
        <v>0</v>
      </c>
      <c r="H9" s="166">
        <f>Distt.Major!H45</f>
        <v>0</v>
      </c>
    </row>
    <row r="10" spans="1:15" s="672" customFormat="1" x14ac:dyDescent="0.25">
      <c r="A10" s="1126" t="s">
        <v>50</v>
      </c>
      <c r="B10" s="1126"/>
      <c r="C10" s="259">
        <f>SUM(C9)</f>
        <v>0</v>
      </c>
      <c r="D10" s="259">
        <f t="shared" ref="D10:H10" si="0">SUM(D9)</f>
        <v>0</v>
      </c>
      <c r="E10" s="259">
        <f t="shared" si="0"/>
        <v>0</v>
      </c>
      <c r="F10" s="259">
        <f t="shared" si="0"/>
        <v>0</v>
      </c>
      <c r="G10" s="259">
        <f t="shared" si="0"/>
        <v>0</v>
      </c>
      <c r="H10" s="259">
        <f t="shared" si="0"/>
        <v>0</v>
      </c>
      <c r="J10" s="680">
        <f>'Major Minerals'!C9</f>
        <v>0</v>
      </c>
      <c r="K10" s="680">
        <f>'Major Minerals'!D9</f>
        <v>0</v>
      </c>
      <c r="L10" s="680">
        <f>'Major Minerals'!E9</f>
        <v>0</v>
      </c>
      <c r="M10" s="680">
        <f>'Major Minerals'!F9</f>
        <v>0</v>
      </c>
      <c r="N10" s="680">
        <f>'Major Minerals'!G9</f>
        <v>0</v>
      </c>
      <c r="O10" s="680">
        <f>'Major Minerals'!H9</f>
        <v>0</v>
      </c>
    </row>
    <row r="11" spans="1:15" ht="15.75" customHeight="1" x14ac:dyDescent="0.25">
      <c r="J11" s="123">
        <f>J10-C10</f>
        <v>0</v>
      </c>
      <c r="K11" s="123">
        <f t="shared" ref="K11:O11" si="1">K10-D10</f>
        <v>0</v>
      </c>
      <c r="L11" s="123">
        <f t="shared" si="1"/>
        <v>0</v>
      </c>
      <c r="M11" s="123">
        <f t="shared" si="1"/>
        <v>0</v>
      </c>
      <c r="N11" s="123">
        <f t="shared" si="1"/>
        <v>0</v>
      </c>
      <c r="O11" s="123">
        <f t="shared" si="1"/>
        <v>0</v>
      </c>
    </row>
    <row r="12" spans="1:15" ht="12.75" customHeight="1" x14ac:dyDescent="0.25">
      <c r="A12" s="1121" t="s">
        <v>462</v>
      </c>
      <c r="B12" s="1121"/>
      <c r="C12" s="1121"/>
      <c r="D12" s="1121"/>
      <c r="E12" s="1121"/>
      <c r="F12" s="1121"/>
      <c r="G12" s="1121"/>
      <c r="H12" s="1121"/>
    </row>
    <row r="13" spans="1:15" ht="16.5" customHeight="1" x14ac:dyDescent="0.25">
      <c r="A13" s="124"/>
      <c r="B13" s="124"/>
      <c r="C13" s="40"/>
      <c r="D13" s="134"/>
      <c r="E13" s="124"/>
      <c r="F13" s="124"/>
      <c r="G13" s="124"/>
      <c r="H13" s="124"/>
    </row>
    <row r="14" spans="1:15" x14ac:dyDescent="0.25">
      <c r="A14" s="1122" t="s">
        <v>2</v>
      </c>
      <c r="B14" s="1124" t="s">
        <v>270</v>
      </c>
      <c r="C14" s="249" t="s">
        <v>4</v>
      </c>
      <c r="D14" s="249" t="s">
        <v>5</v>
      </c>
      <c r="E14" s="249" t="s">
        <v>6</v>
      </c>
      <c r="F14" s="249" t="s">
        <v>7</v>
      </c>
      <c r="G14" s="249" t="s">
        <v>8</v>
      </c>
      <c r="H14" s="249" t="s">
        <v>9</v>
      </c>
    </row>
    <row r="15" spans="1:15" x14ac:dyDescent="0.25">
      <c r="A15" s="1123"/>
      <c r="B15" s="1125"/>
      <c r="C15" s="2" t="s">
        <v>10</v>
      </c>
      <c r="D15" s="2" t="s">
        <v>78</v>
      </c>
      <c r="E15" s="2" t="s">
        <v>79</v>
      </c>
      <c r="F15" s="52" t="s">
        <v>80</v>
      </c>
      <c r="G15" s="52" t="s">
        <v>80</v>
      </c>
      <c r="H15" s="2" t="s">
        <v>13</v>
      </c>
    </row>
    <row r="16" spans="1:15" x14ac:dyDescent="0.25">
      <c r="A16" s="166">
        <v>1</v>
      </c>
      <c r="B16" s="19" t="s">
        <v>240</v>
      </c>
      <c r="C16" s="166">
        <f>Distt.Major!C9</f>
        <v>2</v>
      </c>
      <c r="D16" s="166">
        <f>Distt.Major!D9</f>
        <v>9.8000000000000007</v>
      </c>
      <c r="E16" s="166">
        <f>Distt.Major!E9</f>
        <v>0</v>
      </c>
      <c r="F16" s="166">
        <f>Distt.Major!F9</f>
        <v>0</v>
      </c>
      <c r="G16" s="166">
        <f>Distt.Major!G9</f>
        <v>0</v>
      </c>
      <c r="H16" s="166">
        <f>Distt.Major!H9</f>
        <v>0</v>
      </c>
    </row>
    <row r="17" spans="1:15" x14ac:dyDescent="0.25">
      <c r="A17" s="1126" t="s">
        <v>50</v>
      </c>
      <c r="B17" s="1126"/>
      <c r="C17" s="259">
        <f t="shared" ref="C17:H17" si="2">SUM(C15:C16)</f>
        <v>2</v>
      </c>
      <c r="D17" s="260">
        <f t="shared" si="2"/>
        <v>9.8000000000000007</v>
      </c>
      <c r="E17" s="406">
        <f t="shared" si="2"/>
        <v>0</v>
      </c>
      <c r="F17" s="261">
        <f t="shared" si="2"/>
        <v>0</v>
      </c>
      <c r="G17" s="261">
        <f t="shared" si="2"/>
        <v>0</v>
      </c>
      <c r="H17" s="259">
        <f t="shared" si="2"/>
        <v>0</v>
      </c>
      <c r="J17" s="648">
        <f>'Major Minerals'!C24</f>
        <v>2</v>
      </c>
      <c r="K17" s="648">
        <f>'Major Minerals'!D24</f>
        <v>9.8000000000000007</v>
      </c>
      <c r="L17" s="648">
        <f>'Major Minerals'!E24</f>
        <v>0</v>
      </c>
      <c r="M17" s="648">
        <f>'Major Minerals'!F24</f>
        <v>0</v>
      </c>
      <c r="N17" s="648">
        <f>'Major Minerals'!G24</f>
        <v>0</v>
      </c>
      <c r="O17" s="648">
        <f>'Major Minerals'!H24</f>
        <v>0</v>
      </c>
    </row>
    <row r="18" spans="1:15" x14ac:dyDescent="0.25">
      <c r="A18" s="633"/>
      <c r="B18" s="633"/>
      <c r="C18" s="408"/>
      <c r="D18" s="409"/>
      <c r="E18" s="410"/>
      <c r="F18" s="411"/>
      <c r="G18" s="411"/>
      <c r="H18" s="408"/>
      <c r="J18" s="123">
        <f>J17-C17</f>
        <v>0</v>
      </c>
      <c r="K18" s="123">
        <f t="shared" ref="K18:O18" si="3">K17-D17</f>
        <v>0</v>
      </c>
      <c r="L18" s="123">
        <f t="shared" si="3"/>
        <v>0</v>
      </c>
      <c r="M18" s="123">
        <f t="shared" si="3"/>
        <v>0</v>
      </c>
      <c r="N18" s="123">
        <f t="shared" si="3"/>
        <v>0</v>
      </c>
      <c r="O18" s="123">
        <f t="shared" si="3"/>
        <v>0</v>
      </c>
    </row>
    <row r="19" spans="1:15" ht="18.75" x14ac:dyDescent="0.25">
      <c r="A19" s="1138" t="s">
        <v>466</v>
      </c>
      <c r="B19" s="1138"/>
      <c r="C19" s="1138"/>
      <c r="D19" s="1138"/>
      <c r="E19" s="1138"/>
      <c r="F19" s="1138"/>
      <c r="G19" s="1138"/>
      <c r="H19" s="1138"/>
    </row>
    <row r="20" spans="1:15" x14ac:dyDescent="0.25">
      <c r="A20" s="1122" t="s">
        <v>2</v>
      </c>
      <c r="B20" s="1124" t="s">
        <v>270</v>
      </c>
      <c r="C20" s="249" t="s">
        <v>4</v>
      </c>
      <c r="D20" s="249" t="s">
        <v>5</v>
      </c>
      <c r="E20" s="249" t="s">
        <v>6</v>
      </c>
      <c r="F20" s="249" t="s">
        <v>7</v>
      </c>
      <c r="G20" s="249" t="s">
        <v>8</v>
      </c>
      <c r="H20" s="249" t="s">
        <v>9</v>
      </c>
    </row>
    <row r="21" spans="1:15" x14ac:dyDescent="0.25">
      <c r="A21" s="1123"/>
      <c r="B21" s="1125"/>
      <c r="C21" s="2" t="s">
        <v>10</v>
      </c>
      <c r="D21" s="2" t="s">
        <v>78</v>
      </c>
      <c r="E21" s="2" t="s">
        <v>79</v>
      </c>
      <c r="F21" s="52" t="s">
        <v>80</v>
      </c>
      <c r="G21" s="52" t="s">
        <v>80</v>
      </c>
      <c r="H21" s="2" t="s">
        <v>13</v>
      </c>
    </row>
    <row r="22" spans="1:15" x14ac:dyDescent="0.25">
      <c r="A22" s="166">
        <v>1</v>
      </c>
      <c r="B22" s="19" t="s">
        <v>252</v>
      </c>
      <c r="C22" s="251">
        <f>Distt.Major!C88</f>
        <v>1</v>
      </c>
      <c r="D22" s="257">
        <f>Distt.Major!D88</f>
        <v>4.05</v>
      </c>
      <c r="E22" s="251">
        <f>Distt.Major!E88</f>
        <v>0</v>
      </c>
      <c r="F22" s="251">
        <f>Distt.Major!F88</f>
        <v>0</v>
      </c>
      <c r="G22" s="251">
        <f>Distt.Major!G88</f>
        <v>4052</v>
      </c>
      <c r="H22" s="251">
        <f>Distt.Major!H88</f>
        <v>0</v>
      </c>
    </row>
    <row r="23" spans="1:15" x14ac:dyDescent="0.25">
      <c r="A23" s="1136" t="s">
        <v>50</v>
      </c>
      <c r="B23" s="1137"/>
      <c r="C23" s="259">
        <f t="shared" ref="C23:H23" si="4">SUM(C22:C22)</f>
        <v>1</v>
      </c>
      <c r="D23" s="260">
        <f t="shared" si="4"/>
        <v>4.05</v>
      </c>
      <c r="E23" s="261">
        <f t="shared" si="4"/>
        <v>0</v>
      </c>
      <c r="F23" s="261">
        <f t="shared" si="4"/>
        <v>0</v>
      </c>
      <c r="G23" s="261">
        <f t="shared" si="4"/>
        <v>4052</v>
      </c>
      <c r="H23" s="259">
        <f t="shared" si="4"/>
        <v>0</v>
      </c>
      <c r="J23" s="648">
        <f>'Major Minerals'!C37</f>
        <v>1</v>
      </c>
      <c r="K23" s="648">
        <f>'Major Minerals'!D37</f>
        <v>4.05</v>
      </c>
      <c r="L23" s="648">
        <f>'Major Minerals'!E37</f>
        <v>0</v>
      </c>
      <c r="M23" s="648">
        <f>'Major Minerals'!F37</f>
        <v>0</v>
      </c>
      <c r="N23" s="648">
        <f>'Major Minerals'!G37</f>
        <v>4052</v>
      </c>
      <c r="O23" s="648">
        <f>'Major Minerals'!H37</f>
        <v>0</v>
      </c>
    </row>
    <row r="24" spans="1:15" x14ac:dyDescent="0.25">
      <c r="A24" s="633"/>
      <c r="B24" s="633"/>
      <c r="C24" s="408"/>
      <c r="D24" s="409"/>
      <c r="E24" s="410"/>
      <c r="F24" s="411"/>
      <c r="G24" s="411"/>
      <c r="H24" s="408"/>
      <c r="J24" s="123">
        <f>J23-C23</f>
        <v>0</v>
      </c>
      <c r="K24" s="123">
        <f t="shared" ref="K24:O24" si="5">K23-D23</f>
        <v>0</v>
      </c>
      <c r="L24" s="123">
        <f t="shared" si="5"/>
        <v>0</v>
      </c>
      <c r="M24" s="123">
        <f t="shared" si="5"/>
        <v>0</v>
      </c>
      <c r="N24" s="123">
        <f t="shared" si="5"/>
        <v>0</v>
      </c>
      <c r="O24" s="123">
        <f t="shared" si="5"/>
        <v>0</v>
      </c>
    </row>
    <row r="25" spans="1:15" ht="18.75" x14ac:dyDescent="0.25">
      <c r="A25" s="1138" t="s">
        <v>464</v>
      </c>
      <c r="B25" s="1138"/>
      <c r="C25" s="1138"/>
      <c r="D25" s="1138"/>
      <c r="E25" s="1138"/>
      <c r="F25" s="1138"/>
      <c r="G25" s="1138"/>
      <c r="H25" s="1138"/>
    </row>
    <row r="26" spans="1:15" x14ac:dyDescent="0.25">
      <c r="A26" s="1122" t="s">
        <v>2</v>
      </c>
      <c r="B26" s="1124" t="s">
        <v>270</v>
      </c>
      <c r="C26" s="249" t="s">
        <v>4</v>
      </c>
      <c r="D26" s="249" t="s">
        <v>5</v>
      </c>
      <c r="E26" s="249" t="s">
        <v>6</v>
      </c>
      <c r="F26" s="249" t="s">
        <v>7</v>
      </c>
      <c r="G26" s="249" t="s">
        <v>8</v>
      </c>
      <c r="H26" s="249" t="s">
        <v>9</v>
      </c>
    </row>
    <row r="27" spans="1:15" x14ac:dyDescent="0.25">
      <c r="A27" s="1123"/>
      <c r="B27" s="1125"/>
      <c r="C27" s="2" t="s">
        <v>10</v>
      </c>
      <c r="D27" s="2" t="s">
        <v>78</v>
      </c>
      <c r="E27" s="2" t="s">
        <v>79</v>
      </c>
      <c r="F27" s="52" t="s">
        <v>80</v>
      </c>
      <c r="G27" s="52" t="s">
        <v>80</v>
      </c>
      <c r="H27" s="2" t="s">
        <v>13</v>
      </c>
    </row>
    <row r="28" spans="1:15" x14ac:dyDescent="0.25">
      <c r="A28" s="166">
        <v>1</v>
      </c>
      <c r="B28" s="19" t="s">
        <v>240</v>
      </c>
      <c r="C28" s="204">
        <f>Distt.Major!C10</f>
        <v>1</v>
      </c>
      <c r="D28" s="204">
        <f>Distt.Major!D10</f>
        <v>46.32</v>
      </c>
      <c r="E28" s="204">
        <f>Distt.Major!E10</f>
        <v>0</v>
      </c>
      <c r="F28" s="204">
        <f>Distt.Major!F10</f>
        <v>0</v>
      </c>
      <c r="G28" s="204">
        <f>Distt.Major!G10</f>
        <v>370560</v>
      </c>
      <c r="H28" s="204">
        <f>Distt.Major!H10</f>
        <v>0</v>
      </c>
    </row>
    <row r="29" spans="1:15" x14ac:dyDescent="0.25">
      <c r="A29" s="1126" t="s">
        <v>50</v>
      </c>
      <c r="B29" s="1126"/>
      <c r="C29" s="259">
        <f t="shared" ref="C29:H29" si="6">SUM(C28:C28)</f>
        <v>1</v>
      </c>
      <c r="D29" s="260">
        <f t="shared" si="6"/>
        <v>46.32</v>
      </c>
      <c r="E29" s="261">
        <f t="shared" si="6"/>
        <v>0</v>
      </c>
      <c r="F29" s="261">
        <f t="shared" si="6"/>
        <v>0</v>
      </c>
      <c r="G29" s="261">
        <f t="shared" si="6"/>
        <v>370560</v>
      </c>
      <c r="H29" s="259">
        <f t="shared" si="6"/>
        <v>0</v>
      </c>
      <c r="J29" s="648">
        <f>'Major Minerals'!C43</f>
        <v>1</v>
      </c>
      <c r="K29" s="648">
        <f>'Major Minerals'!D43</f>
        <v>46.32</v>
      </c>
      <c r="L29" s="648">
        <f>'Major Minerals'!E43</f>
        <v>0</v>
      </c>
      <c r="M29" s="648">
        <f>'Major Minerals'!F43</f>
        <v>0</v>
      </c>
      <c r="N29" s="648">
        <f>'Major Minerals'!G43</f>
        <v>370560</v>
      </c>
      <c r="O29" s="648">
        <f>'Major Minerals'!H43</f>
        <v>0</v>
      </c>
    </row>
    <row r="30" spans="1:15" x14ac:dyDescent="0.25">
      <c r="J30" s="123">
        <f>C29-J29</f>
        <v>0</v>
      </c>
      <c r="K30" s="123">
        <f t="shared" ref="K30:O30" si="7">D29-K29</f>
        <v>0</v>
      </c>
      <c r="L30" s="123">
        <f t="shared" si="7"/>
        <v>0</v>
      </c>
      <c r="M30" s="123">
        <f t="shared" si="7"/>
        <v>0</v>
      </c>
      <c r="N30" s="123">
        <f t="shared" si="7"/>
        <v>0</v>
      </c>
      <c r="O30" s="123">
        <f t="shared" si="7"/>
        <v>0</v>
      </c>
    </row>
    <row r="32" spans="1:15" ht="18.75" x14ac:dyDescent="0.3">
      <c r="A32" s="1291" t="s">
        <v>396</v>
      </c>
      <c r="B32" s="1291"/>
      <c r="C32" s="1291"/>
      <c r="D32" s="1291"/>
      <c r="E32" s="1291"/>
      <c r="F32" s="1291"/>
      <c r="G32" s="1291"/>
      <c r="H32" s="1291"/>
    </row>
    <row r="33" spans="1:15" s="393" customFormat="1" ht="17.100000000000001" customHeight="1" x14ac:dyDescent="0.25">
      <c r="A33" s="1122" t="s">
        <v>2</v>
      </c>
      <c r="B33" s="1124" t="s">
        <v>270</v>
      </c>
      <c r="C33" s="249" t="s">
        <v>4</v>
      </c>
      <c r="D33" s="249" t="s">
        <v>5</v>
      </c>
      <c r="E33" s="249" t="s">
        <v>6</v>
      </c>
      <c r="F33" s="249" t="s">
        <v>7</v>
      </c>
      <c r="G33" s="249" t="s">
        <v>8</v>
      </c>
      <c r="H33" s="249" t="s">
        <v>9</v>
      </c>
    </row>
    <row r="34" spans="1:15" s="393" customFormat="1" ht="17.100000000000001" customHeight="1" x14ac:dyDescent="0.25">
      <c r="A34" s="1123"/>
      <c r="B34" s="1125"/>
      <c r="C34" s="2" t="s">
        <v>10</v>
      </c>
      <c r="D34" s="2" t="s">
        <v>78</v>
      </c>
      <c r="E34" s="2" t="s">
        <v>79</v>
      </c>
      <c r="F34" s="52" t="s">
        <v>80</v>
      </c>
      <c r="G34" s="52" t="s">
        <v>80</v>
      </c>
      <c r="H34" s="2" t="s">
        <v>13</v>
      </c>
    </row>
    <row r="35" spans="1:15" s="393" customFormat="1" ht="17.100000000000001" customHeight="1" x14ac:dyDescent="0.25">
      <c r="A35" s="166">
        <v>1</v>
      </c>
      <c r="B35" s="19" t="s">
        <v>267</v>
      </c>
      <c r="C35" s="166">
        <f>Distt.Major!C186</f>
        <v>1</v>
      </c>
      <c r="D35" s="166">
        <f>Distt.Major!D186</f>
        <v>123.2</v>
      </c>
      <c r="E35" s="166">
        <f>Distt.Major!E186</f>
        <v>0</v>
      </c>
      <c r="F35" s="166">
        <f>Distt.Major!F186</f>
        <v>0</v>
      </c>
      <c r="G35" s="166">
        <f>Distt.Major!G186</f>
        <v>251400</v>
      </c>
      <c r="H35" s="166">
        <f>Distt.Major!H186</f>
        <v>0</v>
      </c>
    </row>
    <row r="36" spans="1:15" s="393" customFormat="1" ht="17.100000000000001" customHeight="1" x14ac:dyDescent="0.25">
      <c r="A36" s="1126" t="s">
        <v>50</v>
      </c>
      <c r="B36" s="1126"/>
      <c r="C36" s="259">
        <f t="shared" ref="C36:H36" si="8">SUM(C34:C35)</f>
        <v>1</v>
      </c>
      <c r="D36" s="260">
        <f t="shared" si="8"/>
        <v>123.2</v>
      </c>
      <c r="E36" s="406">
        <f t="shared" si="8"/>
        <v>0</v>
      </c>
      <c r="F36" s="261">
        <f t="shared" si="8"/>
        <v>0</v>
      </c>
      <c r="G36" s="261">
        <f t="shared" si="8"/>
        <v>251400</v>
      </c>
      <c r="H36" s="259">
        <f t="shared" si="8"/>
        <v>0</v>
      </c>
      <c r="J36" s="646">
        <f>'Major Minerals'!C31</f>
        <v>1</v>
      </c>
      <c r="K36" s="646">
        <f>'Major Minerals'!D31</f>
        <v>123.2</v>
      </c>
      <c r="L36" s="646">
        <f>'Major Minerals'!E31</f>
        <v>0</v>
      </c>
      <c r="M36" s="646">
        <f>'Major Minerals'!F31</f>
        <v>0</v>
      </c>
      <c r="N36" s="646">
        <f>'Major Minerals'!G31</f>
        <v>251400</v>
      </c>
      <c r="O36" s="646">
        <f>'Major Minerals'!H31</f>
        <v>0</v>
      </c>
    </row>
    <row r="37" spans="1:15" s="393" customFormat="1" ht="17.100000000000001" customHeight="1" x14ac:dyDescent="0.25">
      <c r="J37" s="393">
        <f>J36-C36</f>
        <v>0</v>
      </c>
      <c r="K37" s="393">
        <f t="shared" ref="K37:O37" si="9">K36-D36</f>
        <v>0</v>
      </c>
      <c r="L37" s="393">
        <f t="shared" si="9"/>
        <v>0</v>
      </c>
      <c r="M37" s="393">
        <f t="shared" si="9"/>
        <v>0</v>
      </c>
      <c r="N37" s="393">
        <f t="shared" si="9"/>
        <v>0</v>
      </c>
      <c r="O37" s="393">
        <f t="shared" si="9"/>
        <v>0</v>
      </c>
    </row>
    <row r="38" spans="1:15" s="393" customFormat="1" ht="17.100000000000001" customHeight="1" x14ac:dyDescent="0.25">
      <c r="A38" s="1138" t="s">
        <v>15</v>
      </c>
      <c r="B38" s="1138"/>
      <c r="C38" s="1138"/>
      <c r="D38" s="1138"/>
      <c r="E38" s="1138"/>
      <c r="F38" s="1138"/>
      <c r="G38" s="1138"/>
      <c r="H38" s="1138"/>
    </row>
    <row r="39" spans="1:15" s="393" customFormat="1" ht="17.100000000000001" customHeight="1" x14ac:dyDescent="0.25">
      <c r="A39" s="1122" t="s">
        <v>2</v>
      </c>
      <c r="B39" s="1124" t="s">
        <v>270</v>
      </c>
      <c r="C39" s="249" t="s">
        <v>4</v>
      </c>
      <c r="D39" s="249" t="s">
        <v>5</v>
      </c>
      <c r="E39" s="249" t="s">
        <v>6</v>
      </c>
      <c r="F39" s="249" t="s">
        <v>7</v>
      </c>
      <c r="G39" s="249" t="s">
        <v>8</v>
      </c>
      <c r="H39" s="249" t="s">
        <v>9</v>
      </c>
    </row>
    <row r="40" spans="1:15" s="393" customFormat="1" ht="17.100000000000001" customHeight="1" x14ac:dyDescent="0.25">
      <c r="A40" s="1123"/>
      <c r="B40" s="1125"/>
      <c r="C40" s="2" t="s">
        <v>10</v>
      </c>
      <c r="D40" s="2" t="s">
        <v>78</v>
      </c>
      <c r="E40" s="2" t="s">
        <v>79</v>
      </c>
      <c r="F40" s="52" t="s">
        <v>80</v>
      </c>
      <c r="G40" s="52" t="s">
        <v>80</v>
      </c>
      <c r="H40" s="2" t="s">
        <v>13</v>
      </c>
    </row>
    <row r="41" spans="1:15" s="393" customFormat="1" ht="17.100000000000001" customHeight="1" x14ac:dyDescent="0.25">
      <c r="A41" s="166">
        <v>1</v>
      </c>
      <c r="B41" s="19" t="s">
        <v>245</v>
      </c>
      <c r="C41" s="279">
        <f>Distt.Major!C49</f>
        <v>0</v>
      </c>
      <c r="D41" s="279">
        <f>Distt.Major!D49</f>
        <v>0</v>
      </c>
      <c r="E41" s="279">
        <f>Distt.Major!E49</f>
        <v>0</v>
      </c>
      <c r="F41" s="279">
        <f>Distt.Major!F49</f>
        <v>0</v>
      </c>
      <c r="G41" s="279">
        <f>Distt.Major!G49</f>
        <v>0</v>
      </c>
      <c r="H41" s="279">
        <f>Distt.Major!H49</f>
        <v>0</v>
      </c>
    </row>
    <row r="42" spans="1:15" s="393" customFormat="1" ht="17.100000000000001" customHeight="1" x14ac:dyDescent="0.25">
      <c r="A42" s="166">
        <v>2</v>
      </c>
      <c r="B42" s="19" t="s">
        <v>408</v>
      </c>
      <c r="C42" s="279">
        <f>Distt.Major!C152</f>
        <v>0</v>
      </c>
      <c r="D42" s="279">
        <f>Distt.Major!D152</f>
        <v>0</v>
      </c>
      <c r="E42" s="279">
        <f>Distt.Major!E152</f>
        <v>0</v>
      </c>
      <c r="F42" s="279">
        <f>Distt.Major!F152</f>
        <v>0</v>
      </c>
      <c r="G42" s="279">
        <f>Distt.Major!G152</f>
        <v>0</v>
      </c>
      <c r="H42" s="279">
        <f>Distt.Major!H152</f>
        <v>0</v>
      </c>
    </row>
    <row r="43" spans="1:15" s="393" customFormat="1" ht="17.100000000000001" customHeight="1" x14ac:dyDescent="0.25">
      <c r="A43" s="166">
        <v>3</v>
      </c>
      <c r="B43" s="19" t="s">
        <v>267</v>
      </c>
      <c r="C43" s="166">
        <f>Distt.Major!C187</f>
        <v>0</v>
      </c>
      <c r="D43" s="166">
        <f>Distt.Major!D187</f>
        <v>0</v>
      </c>
      <c r="E43" s="166">
        <f>Distt.Major!E187</f>
        <v>0</v>
      </c>
      <c r="F43" s="166">
        <f>Distt.Major!F187</f>
        <v>0</v>
      </c>
      <c r="G43" s="166">
        <f>Distt.Major!G187</f>
        <v>0</v>
      </c>
      <c r="H43" s="166">
        <f>Distt.Major!H187</f>
        <v>0</v>
      </c>
    </row>
    <row r="44" spans="1:15" s="393" customFormat="1" ht="17.100000000000001" customHeight="1" x14ac:dyDescent="0.25">
      <c r="A44" s="1136" t="s">
        <v>50</v>
      </c>
      <c r="B44" s="1137"/>
      <c r="C44" s="259">
        <f t="shared" ref="C44:H44" si="10">SUM(C41:C43)</f>
        <v>0</v>
      </c>
      <c r="D44" s="260">
        <f t="shared" si="10"/>
        <v>0</v>
      </c>
      <c r="E44" s="406">
        <f t="shared" si="10"/>
        <v>0</v>
      </c>
      <c r="F44" s="261">
        <f t="shared" si="10"/>
        <v>0</v>
      </c>
      <c r="G44" s="261">
        <f t="shared" si="10"/>
        <v>0</v>
      </c>
      <c r="H44" s="259">
        <f t="shared" si="10"/>
        <v>0</v>
      </c>
      <c r="J44" s="646">
        <f>'Major Minerals'!C17</f>
        <v>0</v>
      </c>
      <c r="K44" s="646">
        <f>'Major Minerals'!D17</f>
        <v>0</v>
      </c>
      <c r="L44" s="646">
        <f>'Major Minerals'!E17</f>
        <v>0</v>
      </c>
      <c r="M44" s="646">
        <f>'Major Minerals'!F17</f>
        <v>0</v>
      </c>
      <c r="N44" s="646">
        <f>'Major Minerals'!G17</f>
        <v>0</v>
      </c>
      <c r="O44" s="646">
        <f>'Major Minerals'!H17</f>
        <v>0</v>
      </c>
    </row>
    <row r="45" spans="1:15" s="393" customFormat="1" ht="17.100000000000001" customHeight="1" x14ac:dyDescent="0.25">
      <c r="A45" s="124"/>
      <c r="B45" s="124"/>
      <c r="C45" s="40"/>
      <c r="D45" s="134"/>
      <c r="E45" s="124"/>
      <c r="F45" s="124"/>
      <c r="G45" s="124"/>
      <c r="H45" s="124"/>
      <c r="J45" s="393">
        <f>J44-C44</f>
        <v>0</v>
      </c>
      <c r="K45" s="393">
        <f t="shared" ref="K45:O45" si="11">K44-D44</f>
        <v>0</v>
      </c>
      <c r="L45" s="393">
        <f t="shared" si="11"/>
        <v>0</v>
      </c>
      <c r="M45" s="393">
        <f t="shared" si="11"/>
        <v>0</v>
      </c>
      <c r="N45" s="393">
        <f t="shared" si="11"/>
        <v>0</v>
      </c>
      <c r="O45" s="393">
        <f t="shared" si="11"/>
        <v>0</v>
      </c>
    </row>
    <row r="46" spans="1:15" s="393" customFormat="1" ht="17.100000000000001" customHeight="1" x14ac:dyDescent="0.25">
      <c r="A46" s="1138" t="s">
        <v>16</v>
      </c>
      <c r="B46" s="1138"/>
      <c r="C46" s="1138"/>
      <c r="D46" s="1138"/>
      <c r="E46" s="1138"/>
      <c r="F46" s="1138"/>
      <c r="G46" s="1138"/>
      <c r="H46" s="1138"/>
    </row>
    <row r="47" spans="1:15" s="393" customFormat="1" ht="17.100000000000001" customHeight="1" x14ac:dyDescent="0.25">
      <c r="A47" s="1122" t="s">
        <v>2</v>
      </c>
      <c r="B47" s="1124" t="s">
        <v>270</v>
      </c>
      <c r="C47" s="249" t="s">
        <v>4</v>
      </c>
      <c r="D47" s="249" t="s">
        <v>5</v>
      </c>
      <c r="E47" s="249" t="s">
        <v>6</v>
      </c>
      <c r="F47" s="249" t="s">
        <v>7</v>
      </c>
      <c r="G47" s="249" t="s">
        <v>8</v>
      </c>
      <c r="H47" s="249" t="s">
        <v>9</v>
      </c>
    </row>
    <row r="48" spans="1:15" s="393" customFormat="1" ht="17.100000000000001" customHeight="1" x14ac:dyDescent="0.25">
      <c r="A48" s="1123"/>
      <c r="B48" s="1125"/>
      <c r="C48" s="2" t="s">
        <v>10</v>
      </c>
      <c r="D48" s="2" t="s">
        <v>78</v>
      </c>
      <c r="E48" s="2" t="s">
        <v>79</v>
      </c>
      <c r="F48" s="52" t="s">
        <v>80</v>
      </c>
      <c r="G48" s="52" t="s">
        <v>80</v>
      </c>
      <c r="H48" s="2" t="s">
        <v>13</v>
      </c>
    </row>
    <row r="49" spans="1:15" s="393" customFormat="1" ht="17.100000000000001" customHeight="1" x14ac:dyDescent="0.25">
      <c r="A49" s="166">
        <v>1</v>
      </c>
      <c r="B49" s="214" t="s">
        <v>256</v>
      </c>
      <c r="C49" s="204">
        <f>Distt.Major!C111</f>
        <v>3</v>
      </c>
      <c r="D49" s="204">
        <f>Distt.Major!D111</f>
        <v>706.75</v>
      </c>
      <c r="E49" s="204">
        <f>Distt.Major!E111</f>
        <v>867904</v>
      </c>
      <c r="F49" s="204">
        <f>Distt.Major!F111</f>
        <v>2473526400</v>
      </c>
      <c r="G49" s="204">
        <f>Distt.Major!G111</f>
        <v>469878000</v>
      </c>
      <c r="H49" s="204">
        <f>Distt.Major!H111</f>
        <v>1760</v>
      </c>
    </row>
    <row r="50" spans="1:15" s="393" customFormat="1" ht="17.100000000000001" customHeight="1" x14ac:dyDescent="0.25">
      <c r="A50" s="627">
        <v>2</v>
      </c>
      <c r="B50" s="445" t="s">
        <v>653</v>
      </c>
      <c r="C50" s="204">
        <f>Distt.Major!C168</f>
        <v>1</v>
      </c>
      <c r="D50" s="204">
        <f>Distt.Major!D168</f>
        <v>63</v>
      </c>
      <c r="E50" s="204">
        <f>Distt.Major!E168</f>
        <v>3028</v>
      </c>
      <c r="F50" s="204">
        <f>Distt.Major!F168</f>
        <v>756822</v>
      </c>
      <c r="G50" s="204">
        <f>Distt.Major!G168</f>
        <v>378000</v>
      </c>
      <c r="H50" s="204">
        <f>Distt.Major!H168</f>
        <v>0</v>
      </c>
    </row>
    <row r="51" spans="1:15" s="393" customFormat="1" ht="17.100000000000001" customHeight="1" x14ac:dyDescent="0.25">
      <c r="A51" s="1136" t="s">
        <v>50</v>
      </c>
      <c r="B51" s="1137"/>
      <c r="C51" s="259">
        <f>SUM(C49:C50)</f>
        <v>4</v>
      </c>
      <c r="D51" s="259">
        <f t="shared" ref="D51:H51" si="12">SUM(D49:D50)</f>
        <v>769.75</v>
      </c>
      <c r="E51" s="259">
        <f t="shared" si="12"/>
        <v>870932</v>
      </c>
      <c r="F51" s="259">
        <f t="shared" si="12"/>
        <v>2474283222</v>
      </c>
      <c r="G51" s="259">
        <f t="shared" si="12"/>
        <v>470256000</v>
      </c>
      <c r="H51" s="259">
        <f t="shared" si="12"/>
        <v>1760</v>
      </c>
      <c r="J51" s="544">
        <f>'Major Minerals'!C50</f>
        <v>4</v>
      </c>
      <c r="K51" s="544">
        <f>'Major Minerals'!D50</f>
        <v>769.75</v>
      </c>
      <c r="L51" s="544">
        <f>'Major Minerals'!E50</f>
        <v>870932</v>
      </c>
      <c r="M51" s="544">
        <f>'Major Minerals'!F50</f>
        <v>2474283222</v>
      </c>
      <c r="N51" s="544">
        <f>'Major Minerals'!G50</f>
        <v>470256000</v>
      </c>
      <c r="O51" s="544">
        <f>'Major Minerals'!H50</f>
        <v>1760</v>
      </c>
    </row>
    <row r="52" spans="1:15" s="393" customFormat="1" ht="17.100000000000001" customHeight="1" x14ac:dyDescent="0.25">
      <c r="A52" s="124"/>
      <c r="B52" s="124"/>
      <c r="C52" s="40"/>
      <c r="D52" s="134"/>
      <c r="E52" s="124"/>
      <c r="F52" s="124"/>
      <c r="G52" s="124"/>
      <c r="H52" s="124"/>
      <c r="J52" s="394">
        <f>C51-J51</f>
        <v>0</v>
      </c>
      <c r="K52" s="394">
        <f t="shared" ref="K52:O52" si="13">D51-K51</f>
        <v>0</v>
      </c>
      <c r="L52" s="394">
        <f t="shared" si="13"/>
        <v>0</v>
      </c>
      <c r="M52" s="394">
        <f t="shared" si="13"/>
        <v>0</v>
      </c>
      <c r="N52" s="394">
        <f t="shared" si="13"/>
        <v>0</v>
      </c>
      <c r="O52" s="394">
        <f t="shared" si="13"/>
        <v>0</v>
      </c>
    </row>
    <row r="53" spans="1:15" s="393" customFormat="1" ht="17.100000000000001" customHeight="1" x14ac:dyDescent="0.25">
      <c r="A53" s="1138" t="s">
        <v>85</v>
      </c>
      <c r="B53" s="1138"/>
      <c r="C53" s="1138"/>
      <c r="D53" s="1138"/>
      <c r="E53" s="1138"/>
      <c r="F53" s="1138"/>
      <c r="G53" s="1138"/>
      <c r="H53" s="1138"/>
    </row>
    <row r="54" spans="1:15" s="393" customFormat="1" ht="17.100000000000001" customHeight="1" x14ac:dyDescent="0.25">
      <c r="A54" s="1122" t="s">
        <v>2</v>
      </c>
      <c r="B54" s="1124" t="s">
        <v>270</v>
      </c>
      <c r="C54" s="249" t="s">
        <v>4</v>
      </c>
      <c r="D54" s="249" t="s">
        <v>5</v>
      </c>
      <c r="E54" s="249" t="s">
        <v>6</v>
      </c>
      <c r="F54" s="249" t="s">
        <v>7</v>
      </c>
      <c r="G54" s="249" t="s">
        <v>8</v>
      </c>
      <c r="H54" s="249" t="s">
        <v>9</v>
      </c>
    </row>
    <row r="55" spans="1:15" s="393" customFormat="1" ht="17.100000000000001" customHeight="1" x14ac:dyDescent="0.25">
      <c r="A55" s="1123"/>
      <c r="B55" s="1125"/>
      <c r="C55" s="2" t="s">
        <v>10</v>
      </c>
      <c r="D55" s="2" t="s">
        <v>78</v>
      </c>
      <c r="E55" s="2" t="s">
        <v>79</v>
      </c>
      <c r="F55" s="52" t="s">
        <v>80</v>
      </c>
      <c r="G55" s="52" t="s">
        <v>80</v>
      </c>
      <c r="H55" s="2" t="s">
        <v>13</v>
      </c>
    </row>
    <row r="56" spans="1:15" s="393" customFormat="1" ht="17.100000000000001" customHeight="1" x14ac:dyDescent="0.25">
      <c r="A56" s="166">
        <v>1</v>
      </c>
      <c r="B56" s="214" t="s">
        <v>241</v>
      </c>
      <c r="C56" s="166">
        <f>Distt.Major!C22</f>
        <v>0</v>
      </c>
      <c r="D56" s="166">
        <f>Distt.Major!D22</f>
        <v>0</v>
      </c>
      <c r="E56" s="166">
        <f>Distt.Major!E22</f>
        <v>0</v>
      </c>
      <c r="F56" s="166">
        <f>Distt.Major!F22</f>
        <v>0</v>
      </c>
      <c r="G56" s="166">
        <f>Distt.Major!G22</f>
        <v>0</v>
      </c>
      <c r="H56" s="166">
        <f>Distt.Major!H22</f>
        <v>0</v>
      </c>
    </row>
    <row r="57" spans="1:15" s="393" customFormat="1" ht="17.100000000000001" customHeight="1" x14ac:dyDescent="0.25">
      <c r="A57" s="166">
        <v>2</v>
      </c>
      <c r="B57" s="214" t="s">
        <v>245</v>
      </c>
      <c r="C57" s="166">
        <f>Distt.Major!C51</f>
        <v>2</v>
      </c>
      <c r="D57" s="166">
        <f>Distt.Major!D51</f>
        <v>1989.885</v>
      </c>
      <c r="E57" s="166">
        <f>Distt.Major!E51</f>
        <v>3343749</v>
      </c>
      <c r="F57" s="166">
        <f>Distt.Major!F51</f>
        <v>15715624013</v>
      </c>
      <c r="G57" s="166">
        <f>Distt.Major!G51</f>
        <v>1020000000</v>
      </c>
      <c r="H57" s="166">
        <f>Distt.Major!H51</f>
        <v>1100</v>
      </c>
    </row>
    <row r="58" spans="1:15" s="393" customFormat="1" ht="17.100000000000001" customHeight="1" x14ac:dyDescent="0.25">
      <c r="A58" s="166">
        <v>3</v>
      </c>
      <c r="B58" s="214" t="s">
        <v>252</v>
      </c>
      <c r="C58" s="166">
        <f>Distt.Major!C89</f>
        <v>4</v>
      </c>
      <c r="D58" s="166">
        <f>Distt.Major!D89</f>
        <v>143.24</v>
      </c>
      <c r="E58" s="166">
        <f>Distt.Major!E89</f>
        <v>28291.4</v>
      </c>
      <c r="F58" s="166">
        <f>Distt.Major!F89</f>
        <v>114421600</v>
      </c>
      <c r="G58" s="166">
        <f>Distt.Major!G89</f>
        <v>2342128</v>
      </c>
      <c r="H58" s="166">
        <f>Distt.Major!H89</f>
        <v>35</v>
      </c>
    </row>
    <row r="59" spans="1:15" s="393" customFormat="1" ht="17.100000000000001" customHeight="1" x14ac:dyDescent="0.25">
      <c r="A59" s="166">
        <v>4</v>
      </c>
      <c r="B59" s="214" t="s">
        <v>264</v>
      </c>
      <c r="C59" s="166">
        <f>Distt.Major!C160</f>
        <v>3</v>
      </c>
      <c r="D59" s="166">
        <f>Distt.Major!D160</f>
        <v>229.03</v>
      </c>
      <c r="E59" s="166">
        <f>Distt.Major!E160</f>
        <v>143379</v>
      </c>
      <c r="F59" s="166">
        <f>Distt.Major!F160</f>
        <v>659543400</v>
      </c>
      <c r="G59" s="166">
        <f>Distt.Major!G160</f>
        <v>13537417</v>
      </c>
      <c r="H59" s="166">
        <f>Distt.Major!H160</f>
        <v>50</v>
      </c>
    </row>
    <row r="60" spans="1:15" s="393" customFormat="1" ht="17.100000000000001" customHeight="1" x14ac:dyDescent="0.25">
      <c r="A60" s="166">
        <v>5</v>
      </c>
      <c r="B60" s="19" t="s">
        <v>256</v>
      </c>
      <c r="C60" s="204">
        <f>Distt.Major!C113</f>
        <v>6</v>
      </c>
      <c r="D60" s="204">
        <f>Distt.Major!D113</f>
        <v>86.47</v>
      </c>
      <c r="E60" s="204">
        <f>Distt.Major!E113</f>
        <v>136718</v>
      </c>
      <c r="F60" s="204">
        <f>Distt.Major!F113</f>
        <v>599508430</v>
      </c>
      <c r="G60" s="204">
        <f>Distt.Major!G113</f>
        <v>12235000</v>
      </c>
      <c r="H60" s="204">
        <f>Distt.Major!H113</f>
        <v>18</v>
      </c>
    </row>
    <row r="61" spans="1:15" s="393" customFormat="1" ht="17.100000000000001" customHeight="1" x14ac:dyDescent="0.25">
      <c r="A61" s="1136" t="s">
        <v>50</v>
      </c>
      <c r="B61" s="1137"/>
      <c r="C61" s="259">
        <f t="shared" ref="C61:H61" si="14">SUM(C56:C60)</f>
        <v>15</v>
      </c>
      <c r="D61" s="260">
        <f t="shared" si="14"/>
        <v>2448.625</v>
      </c>
      <c r="E61" s="261">
        <f t="shared" si="14"/>
        <v>3652137.4</v>
      </c>
      <c r="F61" s="261">
        <f t="shared" si="14"/>
        <v>17089097443</v>
      </c>
      <c r="G61" s="261">
        <f t="shared" si="14"/>
        <v>1048114545</v>
      </c>
      <c r="H61" s="259">
        <f t="shared" si="14"/>
        <v>1203</v>
      </c>
      <c r="J61" s="544">
        <f>'Major Minerals'!C61</f>
        <v>15</v>
      </c>
      <c r="K61" s="544">
        <f>'Major Minerals'!D61</f>
        <v>2448.625</v>
      </c>
      <c r="L61" s="544">
        <f>'Major Minerals'!E61</f>
        <v>3652137.4</v>
      </c>
      <c r="M61" s="544">
        <f>'Major Minerals'!F61</f>
        <v>17089097443</v>
      </c>
      <c r="N61" s="544">
        <f>'Major Minerals'!G61</f>
        <v>1048114545</v>
      </c>
      <c r="O61" s="544">
        <f>'Major Minerals'!H61</f>
        <v>1203</v>
      </c>
    </row>
    <row r="62" spans="1:15" s="393" customFormat="1" ht="17.100000000000001" customHeight="1" x14ac:dyDescent="0.25">
      <c r="A62" s="412"/>
      <c r="B62" s="413"/>
      <c r="C62" s="414"/>
      <c r="D62" s="415"/>
      <c r="E62" s="416"/>
      <c r="F62" s="416"/>
      <c r="G62" s="416"/>
      <c r="H62" s="414"/>
      <c r="J62" s="394">
        <f>C61-J61</f>
        <v>0</v>
      </c>
      <c r="K62" s="394">
        <f t="shared" ref="K62:O62" si="15">D61-K61</f>
        <v>0</v>
      </c>
      <c r="L62" s="394">
        <f t="shared" si="15"/>
        <v>0</v>
      </c>
      <c r="M62" s="394">
        <f t="shared" si="15"/>
        <v>0</v>
      </c>
      <c r="N62" s="394">
        <f t="shared" si="15"/>
        <v>0</v>
      </c>
      <c r="O62" s="394">
        <f t="shared" si="15"/>
        <v>0</v>
      </c>
    </row>
    <row r="63" spans="1:15" s="393" customFormat="1" ht="17.100000000000001" customHeight="1" x14ac:dyDescent="0.25">
      <c r="A63" s="1138" t="s">
        <v>381</v>
      </c>
      <c r="B63" s="1138"/>
      <c r="C63" s="1138"/>
      <c r="D63" s="1138"/>
      <c r="E63" s="1138"/>
      <c r="F63" s="1138"/>
      <c r="G63" s="1138"/>
      <c r="H63" s="1138"/>
      <c r="J63" s="647"/>
    </row>
    <row r="64" spans="1:15" s="393" customFormat="1" ht="17.100000000000001" customHeight="1" x14ac:dyDescent="0.25">
      <c r="A64" s="1122" t="s">
        <v>2</v>
      </c>
      <c r="B64" s="1124" t="s">
        <v>270</v>
      </c>
      <c r="C64" s="249" t="s">
        <v>4</v>
      </c>
      <c r="D64" s="249" t="s">
        <v>5</v>
      </c>
      <c r="E64" s="249" t="s">
        <v>6</v>
      </c>
      <c r="F64" s="249" t="s">
        <v>7</v>
      </c>
      <c r="G64" s="249" t="s">
        <v>8</v>
      </c>
      <c r="H64" s="249" t="s">
        <v>9</v>
      </c>
    </row>
    <row r="65" spans="1:15" s="393" customFormat="1" ht="17.100000000000001" customHeight="1" x14ac:dyDescent="0.25">
      <c r="A65" s="1123"/>
      <c r="B65" s="1125"/>
      <c r="C65" s="2" t="s">
        <v>10</v>
      </c>
      <c r="D65" s="2" t="s">
        <v>78</v>
      </c>
      <c r="E65" s="2" t="s">
        <v>79</v>
      </c>
      <c r="F65" s="52" t="s">
        <v>80</v>
      </c>
      <c r="G65" s="52" t="s">
        <v>80</v>
      </c>
      <c r="H65" s="2" t="s">
        <v>13</v>
      </c>
    </row>
    <row r="66" spans="1:15" s="393" customFormat="1" ht="17.100000000000001" customHeight="1" x14ac:dyDescent="0.25">
      <c r="A66" s="166">
        <v>1</v>
      </c>
      <c r="B66" s="214" t="s">
        <v>240</v>
      </c>
      <c r="C66" s="63">
        <f>Distt.Major!C12</f>
        <v>1</v>
      </c>
      <c r="D66" s="63">
        <f>Distt.Major!D12</f>
        <v>480.45</v>
      </c>
      <c r="E66" s="63">
        <f>Distt.Major!E12</f>
        <v>564113</v>
      </c>
      <c r="F66" s="63">
        <f>Distt.Major!F12</f>
        <v>9025808000</v>
      </c>
      <c r="G66" s="63">
        <f>Distt.Major!G12</f>
        <v>781402433</v>
      </c>
      <c r="H66" s="63">
        <f>Distt.Major!H12</f>
        <v>456</v>
      </c>
    </row>
    <row r="67" spans="1:15" s="393" customFormat="1" ht="17.100000000000001" customHeight="1" x14ac:dyDescent="0.25">
      <c r="A67" s="166">
        <v>2</v>
      </c>
      <c r="B67" s="214" t="s">
        <v>245</v>
      </c>
      <c r="C67" s="145">
        <f>Distt.Major!C47</f>
        <v>1</v>
      </c>
      <c r="D67" s="145">
        <f>Distt.Major!D47</f>
        <v>1200</v>
      </c>
      <c r="E67" s="145">
        <f>Distt.Major!E47</f>
        <v>1207479</v>
      </c>
      <c r="F67" s="145">
        <f>Distt.Major!F47</f>
        <v>24149580000</v>
      </c>
      <c r="G67" s="145">
        <f>Distt.Major!G47</f>
        <v>12385092400</v>
      </c>
      <c r="H67" s="145">
        <f>Distt.Major!H47</f>
        <v>3600</v>
      </c>
    </row>
    <row r="68" spans="1:15" s="393" customFormat="1" ht="17.100000000000001" customHeight="1" x14ac:dyDescent="0.25">
      <c r="A68" s="166">
        <v>3</v>
      </c>
      <c r="B68" s="214" t="s">
        <v>275</v>
      </c>
      <c r="C68" s="137">
        <f>Distt.Major!C148</f>
        <v>0</v>
      </c>
      <c r="D68" s="137">
        <f>Distt.Major!D148</f>
        <v>0</v>
      </c>
      <c r="E68" s="137">
        <f>Distt.Major!E148</f>
        <v>0</v>
      </c>
      <c r="F68" s="137">
        <f>Distt.Major!F148</f>
        <v>0</v>
      </c>
      <c r="G68" s="137">
        <f>Distt.Major!G148</f>
        <v>0</v>
      </c>
      <c r="H68" s="137">
        <f>Distt.Major!H148</f>
        <v>0</v>
      </c>
    </row>
    <row r="69" spans="1:15" s="393" customFormat="1" ht="17.100000000000001" customHeight="1" x14ac:dyDescent="0.25">
      <c r="A69" s="166">
        <v>4</v>
      </c>
      <c r="B69" s="214" t="s">
        <v>265</v>
      </c>
      <c r="C69" s="204">
        <v>0</v>
      </c>
      <c r="D69" s="204">
        <v>0</v>
      </c>
      <c r="E69" s="204">
        <v>0</v>
      </c>
      <c r="F69" s="204">
        <f>Distt.Major!F168</f>
        <v>756822</v>
      </c>
      <c r="G69" s="204">
        <v>0</v>
      </c>
      <c r="H69" s="204">
        <f>Distt.Major!H168</f>
        <v>0</v>
      </c>
    </row>
    <row r="70" spans="1:15" s="393" customFormat="1" ht="17.100000000000001" customHeight="1" x14ac:dyDescent="0.25">
      <c r="A70" s="166">
        <v>5</v>
      </c>
      <c r="B70" s="214" t="s">
        <v>267</v>
      </c>
      <c r="C70" s="143">
        <f>Distt.Major!C183</f>
        <v>0</v>
      </c>
      <c r="D70" s="143">
        <f>Distt.Major!D183</f>
        <v>0</v>
      </c>
      <c r="E70" s="143">
        <f>Distt.Major!E183</f>
        <v>0</v>
      </c>
      <c r="F70" s="143">
        <f>Distt.Major!F183</f>
        <v>0</v>
      </c>
      <c r="G70" s="143">
        <f>Distt.Major!G183</f>
        <v>0</v>
      </c>
      <c r="H70" s="143">
        <f>Distt.Major!H183</f>
        <v>0</v>
      </c>
    </row>
    <row r="71" spans="1:15" s="393" customFormat="1" ht="17.100000000000001" customHeight="1" x14ac:dyDescent="0.25">
      <c r="A71" s="1136" t="s">
        <v>50</v>
      </c>
      <c r="B71" s="1137"/>
      <c r="C71" s="259">
        <f t="shared" ref="C71:H71" si="16">SUM(C66:C70)</f>
        <v>2</v>
      </c>
      <c r="D71" s="260">
        <f t="shared" si="16"/>
        <v>1680.45</v>
      </c>
      <c r="E71" s="259">
        <f t="shared" si="16"/>
        <v>1771592</v>
      </c>
      <c r="F71" s="261">
        <f t="shared" si="16"/>
        <v>33176144822</v>
      </c>
      <c r="G71" s="261">
        <f t="shared" si="16"/>
        <v>13166494833</v>
      </c>
      <c r="H71" s="259">
        <f t="shared" si="16"/>
        <v>4056</v>
      </c>
      <c r="J71" s="646">
        <f>'Major Minerals'!C70</f>
        <v>2</v>
      </c>
      <c r="K71" s="646">
        <f>'Major Minerals'!D70</f>
        <v>1680.45</v>
      </c>
      <c r="L71" s="646">
        <f>'Major Minerals'!E70</f>
        <v>1771592</v>
      </c>
      <c r="M71" s="646">
        <f>'Major Minerals'!F70</f>
        <v>33175388000</v>
      </c>
      <c r="N71" s="646">
        <f>'Major Minerals'!G70</f>
        <v>13166494833</v>
      </c>
      <c r="O71" s="646">
        <f>'Major Minerals'!H70</f>
        <v>4056</v>
      </c>
    </row>
    <row r="72" spans="1:15" s="393" customFormat="1" ht="17.100000000000001" customHeight="1" x14ac:dyDescent="0.25">
      <c r="A72" s="412"/>
      <c r="B72" s="413"/>
      <c r="C72" s="414"/>
      <c r="D72" s="415"/>
      <c r="E72" s="416"/>
      <c r="F72" s="416"/>
      <c r="G72" s="416"/>
      <c r="H72" s="414"/>
      <c r="J72" s="393">
        <f>C71-J71</f>
        <v>0</v>
      </c>
      <c r="K72" s="393">
        <f t="shared" ref="K72:O72" si="17">D71-K71</f>
        <v>0</v>
      </c>
      <c r="L72" s="393">
        <f t="shared" si="17"/>
        <v>0</v>
      </c>
      <c r="M72" s="393">
        <f t="shared" si="17"/>
        <v>756822</v>
      </c>
      <c r="N72" s="393">
        <f t="shared" si="17"/>
        <v>0</v>
      </c>
      <c r="O72" s="393">
        <f t="shared" si="17"/>
        <v>0</v>
      </c>
    </row>
    <row r="73" spans="1:15" s="393" customFormat="1" ht="17.100000000000001" customHeight="1" x14ac:dyDescent="0.25">
      <c r="A73" s="1145" t="s">
        <v>398</v>
      </c>
      <c r="B73" s="1145"/>
      <c r="C73" s="1145"/>
      <c r="D73" s="1145"/>
      <c r="E73" s="1145"/>
      <c r="F73" s="1145"/>
      <c r="G73" s="1145"/>
      <c r="H73" s="1145"/>
    </row>
    <row r="74" spans="1:15" s="393" customFormat="1" ht="17.100000000000001" customHeight="1" x14ac:dyDescent="0.25">
      <c r="A74" s="352"/>
      <c r="B74" s="417"/>
      <c r="C74" s="418"/>
      <c r="D74" s="419"/>
      <c r="E74" s="420"/>
      <c r="F74" s="420"/>
      <c r="G74" s="420"/>
      <c r="H74" s="418"/>
    </row>
    <row r="75" spans="1:15" s="393" customFormat="1" ht="17.100000000000001" customHeight="1" x14ac:dyDescent="0.25">
      <c r="A75" s="1122" t="s">
        <v>2</v>
      </c>
      <c r="B75" s="1124" t="s">
        <v>270</v>
      </c>
      <c r="C75" s="249" t="s">
        <v>4</v>
      </c>
      <c r="D75" s="249" t="s">
        <v>5</v>
      </c>
      <c r="E75" s="249" t="s">
        <v>6</v>
      </c>
      <c r="F75" s="249" t="s">
        <v>7</v>
      </c>
      <c r="G75" s="249" t="s">
        <v>8</v>
      </c>
      <c r="H75" s="249" t="s">
        <v>9</v>
      </c>
    </row>
    <row r="76" spans="1:15" s="393" customFormat="1" ht="17.100000000000001" customHeight="1" x14ac:dyDescent="0.25">
      <c r="A76" s="1123"/>
      <c r="B76" s="1125"/>
      <c r="C76" s="2" t="s">
        <v>10</v>
      </c>
      <c r="D76" s="2" t="s">
        <v>78</v>
      </c>
      <c r="E76" s="2" t="s">
        <v>79</v>
      </c>
      <c r="F76" s="52" t="s">
        <v>80</v>
      </c>
      <c r="G76" s="52" t="s">
        <v>80</v>
      </c>
      <c r="H76" s="2" t="s">
        <v>13</v>
      </c>
    </row>
    <row r="77" spans="1:15" s="393" customFormat="1" ht="17.100000000000001" customHeight="1" x14ac:dyDescent="0.25">
      <c r="A77" s="166">
        <v>2</v>
      </c>
      <c r="B77" s="214" t="s">
        <v>275</v>
      </c>
      <c r="C77" s="145">
        <f>Distt.Major!C149</f>
        <v>3</v>
      </c>
      <c r="D77" s="145">
        <f>Distt.Major!D149</f>
        <v>1725.8225</v>
      </c>
      <c r="E77" s="145">
        <f>Distt.Major!E149</f>
        <v>218894</v>
      </c>
      <c r="F77" s="145">
        <f>Distt.Major!F149</f>
        <v>4706221000</v>
      </c>
      <c r="G77" s="145">
        <f>Distt.Major!G149</f>
        <v>173976000</v>
      </c>
      <c r="H77" s="145">
        <f>Distt.Major!H149</f>
        <v>22810</v>
      </c>
    </row>
    <row r="78" spans="1:15" s="393" customFormat="1" ht="17.100000000000001" customHeight="1" x14ac:dyDescent="0.25">
      <c r="A78" s="166">
        <v>3</v>
      </c>
      <c r="B78" s="214" t="s">
        <v>267</v>
      </c>
      <c r="C78" s="137">
        <f>Distt.Major!C181</f>
        <v>0</v>
      </c>
      <c r="D78" s="137">
        <f>Distt.Major!D181</f>
        <v>0</v>
      </c>
      <c r="E78" s="137">
        <f>Distt.Major!E181</f>
        <v>91296</v>
      </c>
      <c r="F78" s="137">
        <f>Distt.Major!F181</f>
        <v>1962864000</v>
      </c>
      <c r="G78" s="137">
        <f>Distt.Major!G181</f>
        <v>1622361244</v>
      </c>
      <c r="H78" s="137">
        <f>Distt.Major!H181</f>
        <v>0</v>
      </c>
    </row>
    <row r="79" spans="1:15" s="393" customFormat="1" ht="17.100000000000001" customHeight="1" x14ac:dyDescent="0.25">
      <c r="A79" s="1136" t="s">
        <v>50</v>
      </c>
      <c r="B79" s="1137"/>
      <c r="C79" s="259">
        <f t="shared" ref="C79:H79" si="18">SUM(C77:C78)</f>
        <v>3</v>
      </c>
      <c r="D79" s="260">
        <f t="shared" si="18"/>
        <v>1725.8225</v>
      </c>
      <c r="E79" s="259">
        <f t="shared" si="18"/>
        <v>310190</v>
      </c>
      <c r="F79" s="261">
        <f t="shared" si="18"/>
        <v>6669085000</v>
      </c>
      <c r="G79" s="261">
        <f t="shared" si="18"/>
        <v>1796337244</v>
      </c>
      <c r="H79" s="259">
        <f t="shared" si="18"/>
        <v>22810</v>
      </c>
      <c r="J79" s="646">
        <f>'Major Minerals'!C79</f>
        <v>3</v>
      </c>
      <c r="K79" s="646">
        <f>'Major Minerals'!D79</f>
        <v>1725.8225</v>
      </c>
      <c r="L79" s="646">
        <f>'Major Minerals'!E79</f>
        <v>310190</v>
      </c>
      <c r="M79" s="646">
        <f>'Major Minerals'!F79</f>
        <v>6669085000</v>
      </c>
      <c r="N79" s="646">
        <f>'Major Minerals'!G79</f>
        <v>1796337244</v>
      </c>
      <c r="O79" s="646">
        <f>'Major Minerals'!H79</f>
        <v>22810</v>
      </c>
    </row>
    <row r="80" spans="1:15" s="393" customFormat="1" ht="17.100000000000001" customHeight="1" x14ac:dyDescent="0.25">
      <c r="A80" s="352"/>
      <c r="B80" s="417"/>
      <c r="C80" s="418"/>
      <c r="D80" s="419"/>
      <c r="E80" s="420"/>
      <c r="F80" s="420"/>
      <c r="G80" s="420"/>
      <c r="H80" s="418"/>
      <c r="J80" s="393">
        <f>C79-J79</f>
        <v>0</v>
      </c>
      <c r="K80" s="393">
        <f t="shared" ref="K80:O80" si="19">D79-K79</f>
        <v>0</v>
      </c>
      <c r="L80" s="393">
        <f t="shared" si="19"/>
        <v>0</v>
      </c>
      <c r="M80" s="393">
        <f t="shared" si="19"/>
        <v>0</v>
      </c>
      <c r="N80" s="393">
        <f t="shared" si="19"/>
        <v>0</v>
      </c>
      <c r="O80" s="393">
        <f t="shared" si="19"/>
        <v>0</v>
      </c>
    </row>
    <row r="81" spans="1:15" s="393" customFormat="1" ht="17.100000000000001" customHeight="1" x14ac:dyDescent="0.25">
      <c r="A81" s="1146" t="s">
        <v>411</v>
      </c>
      <c r="B81" s="1146"/>
      <c r="C81" s="1146"/>
      <c r="D81" s="1146"/>
      <c r="E81" s="1146"/>
      <c r="F81" s="1146"/>
      <c r="G81" s="1146"/>
      <c r="H81" s="1146"/>
    </row>
    <row r="82" spans="1:15" s="393" customFormat="1" ht="17.100000000000001" customHeight="1" x14ac:dyDescent="0.25">
      <c r="A82" s="1122" t="s">
        <v>2</v>
      </c>
      <c r="B82" s="1124" t="s">
        <v>270</v>
      </c>
      <c r="C82" s="249" t="s">
        <v>4</v>
      </c>
      <c r="D82" s="249" t="s">
        <v>5</v>
      </c>
      <c r="E82" s="249" t="s">
        <v>6</v>
      </c>
      <c r="F82" s="249" t="s">
        <v>7</v>
      </c>
      <c r="G82" s="249" t="s">
        <v>8</v>
      </c>
      <c r="H82" s="249" t="s">
        <v>9</v>
      </c>
    </row>
    <row r="83" spans="1:15" s="393" customFormat="1" ht="17.100000000000001" customHeight="1" x14ac:dyDescent="0.25">
      <c r="A83" s="1123"/>
      <c r="B83" s="1125"/>
      <c r="C83" s="2" t="s">
        <v>10</v>
      </c>
      <c r="D83" s="2" t="s">
        <v>78</v>
      </c>
      <c r="E83" s="2" t="s">
        <v>79</v>
      </c>
      <c r="F83" s="52" t="s">
        <v>80</v>
      </c>
      <c r="G83" s="52" t="s">
        <v>80</v>
      </c>
      <c r="H83" s="2" t="s">
        <v>13</v>
      </c>
    </row>
    <row r="84" spans="1:15" s="393" customFormat="1" ht="17.100000000000001" customHeight="1" x14ac:dyDescent="0.25">
      <c r="A84" s="166">
        <v>2</v>
      </c>
      <c r="B84" s="214" t="s">
        <v>275</v>
      </c>
      <c r="C84" s="145">
        <f>Distt.Major!C150</f>
        <v>0</v>
      </c>
      <c r="D84" s="145">
        <f>Distt.Major!D150</f>
        <v>0</v>
      </c>
      <c r="E84" s="145">
        <f>Distt.Major!E150</f>
        <v>845164</v>
      </c>
      <c r="F84" s="145">
        <f>Distt.Major!F150</f>
        <v>13522624000</v>
      </c>
      <c r="G84" s="145">
        <f>Distt.Major!G150</f>
        <v>6327004000</v>
      </c>
      <c r="H84" s="145">
        <f>Distt.Major!H150</f>
        <v>0</v>
      </c>
    </row>
    <row r="85" spans="1:15" s="393" customFormat="1" ht="17.100000000000001" customHeight="1" x14ac:dyDescent="0.25">
      <c r="A85" s="166">
        <v>3</v>
      </c>
      <c r="B85" s="214" t="s">
        <v>267</v>
      </c>
      <c r="C85" s="137">
        <f>Distt.Major!C182</f>
        <v>1</v>
      </c>
      <c r="D85" s="137">
        <f>Distt.Major!D182</f>
        <v>3620</v>
      </c>
      <c r="E85" s="137">
        <f>Distt.Major!E182</f>
        <v>197120</v>
      </c>
      <c r="F85" s="137">
        <f>Distt.Major!F182</f>
        <v>3153920000</v>
      </c>
      <c r="G85" s="137">
        <f>Distt.Major!G182</f>
        <v>2442350509</v>
      </c>
      <c r="H85" s="137">
        <f>Distt.Major!H182</f>
        <v>2170</v>
      </c>
    </row>
    <row r="86" spans="1:15" s="393" customFormat="1" ht="17.100000000000001" customHeight="1" x14ac:dyDescent="0.25">
      <c r="A86" s="1136" t="s">
        <v>50</v>
      </c>
      <c r="B86" s="1137"/>
      <c r="C86" s="259">
        <f t="shared" ref="C86:H86" si="20">SUM(C84:C85)</f>
        <v>1</v>
      </c>
      <c r="D86" s="260">
        <f t="shared" si="20"/>
        <v>3620</v>
      </c>
      <c r="E86" s="259">
        <f t="shared" si="20"/>
        <v>1042284</v>
      </c>
      <c r="F86" s="261">
        <f t="shared" si="20"/>
        <v>16676544000</v>
      </c>
      <c r="G86" s="261">
        <f t="shared" si="20"/>
        <v>8769354509</v>
      </c>
      <c r="H86" s="259">
        <f t="shared" si="20"/>
        <v>2170</v>
      </c>
      <c r="J86" s="646">
        <f>'Major Minerals'!C87</f>
        <v>1</v>
      </c>
      <c r="K86" s="646">
        <f>'Major Minerals'!D87</f>
        <v>3620</v>
      </c>
      <c r="L86" s="646">
        <f>'Major Minerals'!E87</f>
        <v>1042284</v>
      </c>
      <c r="M86" s="646">
        <f>'Major Minerals'!F87</f>
        <v>16676544000</v>
      </c>
      <c r="N86" s="646">
        <f>'Major Minerals'!G87</f>
        <v>8769354509</v>
      </c>
      <c r="O86" s="646">
        <f>'Major Minerals'!H87</f>
        <v>2170</v>
      </c>
    </row>
    <row r="87" spans="1:15" s="393" customFormat="1" ht="17.100000000000001" customHeight="1" x14ac:dyDescent="0.25">
      <c r="A87" s="352"/>
      <c r="B87" s="417"/>
      <c r="C87" s="418"/>
      <c r="D87" s="419"/>
      <c r="E87" s="420"/>
      <c r="F87" s="420"/>
      <c r="G87" s="420"/>
      <c r="H87" s="418"/>
      <c r="J87" s="393">
        <f>C86-J86</f>
        <v>0</v>
      </c>
      <c r="K87" s="393">
        <f t="shared" ref="K87:O87" si="21">D86-K86</f>
        <v>0</v>
      </c>
      <c r="L87" s="393">
        <f t="shared" si="21"/>
        <v>0</v>
      </c>
      <c r="M87" s="393">
        <f t="shared" si="21"/>
        <v>0</v>
      </c>
      <c r="N87" s="393">
        <f t="shared" si="21"/>
        <v>0</v>
      </c>
      <c r="O87" s="393">
        <f t="shared" si="21"/>
        <v>0</v>
      </c>
    </row>
    <row r="88" spans="1:15" s="393" customFormat="1" ht="17.100000000000001" customHeight="1" x14ac:dyDescent="0.25">
      <c r="A88" s="1138" t="s">
        <v>21</v>
      </c>
      <c r="B88" s="1138"/>
      <c r="C88" s="1138"/>
      <c r="D88" s="1138"/>
      <c r="E88" s="1138"/>
      <c r="F88" s="1138"/>
      <c r="G88" s="1138"/>
      <c r="H88" s="1138"/>
    </row>
    <row r="89" spans="1:15" s="393" customFormat="1" ht="17.100000000000001" customHeight="1" x14ac:dyDescent="0.25">
      <c r="A89" s="1122" t="s">
        <v>2</v>
      </c>
      <c r="B89" s="1124" t="s">
        <v>270</v>
      </c>
      <c r="C89" s="249" t="s">
        <v>4</v>
      </c>
      <c r="D89" s="249" t="s">
        <v>5</v>
      </c>
      <c r="E89" s="249" t="s">
        <v>6</v>
      </c>
      <c r="F89" s="249" t="s">
        <v>7</v>
      </c>
      <c r="G89" s="249" t="s">
        <v>8</v>
      </c>
      <c r="H89" s="249" t="s">
        <v>9</v>
      </c>
    </row>
    <row r="90" spans="1:15" s="393" customFormat="1" ht="17.100000000000001" customHeight="1" x14ac:dyDescent="0.25">
      <c r="A90" s="1123"/>
      <c r="B90" s="1125"/>
      <c r="C90" s="2" t="s">
        <v>10</v>
      </c>
      <c r="D90" s="2" t="s">
        <v>78</v>
      </c>
      <c r="E90" s="2" t="s">
        <v>79</v>
      </c>
      <c r="F90" s="52" t="s">
        <v>80</v>
      </c>
      <c r="G90" s="52" t="s">
        <v>80</v>
      </c>
      <c r="H90" s="2" t="s">
        <v>13</v>
      </c>
    </row>
    <row r="91" spans="1:15" s="393" customFormat="1" ht="17.100000000000001" customHeight="1" x14ac:dyDescent="0.25">
      <c r="A91" s="166">
        <v>1</v>
      </c>
      <c r="B91" s="19" t="s">
        <v>242</v>
      </c>
      <c r="C91" s="166">
        <f>Distt.Major!C29</f>
        <v>1</v>
      </c>
      <c r="D91" s="166">
        <f>Distt.Major!D29</f>
        <v>18.898</v>
      </c>
      <c r="E91" s="166">
        <f>Distt.Major!E29</f>
        <v>997.58</v>
      </c>
      <c r="F91" s="166">
        <f>Distt.Major!F29</f>
        <v>3491530</v>
      </c>
      <c r="G91" s="166">
        <f>Distt.Major!G29</f>
        <v>276000</v>
      </c>
      <c r="H91" s="166">
        <f>Distt.Major!H29</f>
        <v>20</v>
      </c>
    </row>
    <row r="92" spans="1:15" s="393" customFormat="1" ht="17.100000000000001" customHeight="1" x14ac:dyDescent="0.25">
      <c r="A92" s="1136" t="s">
        <v>50</v>
      </c>
      <c r="B92" s="1137"/>
      <c r="C92" s="259">
        <f t="shared" ref="C92:H92" si="22">SUM(C91)</f>
        <v>1</v>
      </c>
      <c r="D92" s="260">
        <f t="shared" si="22"/>
        <v>18.898</v>
      </c>
      <c r="E92" s="261">
        <f t="shared" si="22"/>
        <v>997.58</v>
      </c>
      <c r="F92" s="261">
        <f t="shared" si="22"/>
        <v>3491530</v>
      </c>
      <c r="G92" s="261">
        <f t="shared" si="22"/>
        <v>276000</v>
      </c>
      <c r="H92" s="259">
        <f t="shared" si="22"/>
        <v>20</v>
      </c>
      <c r="J92" s="544">
        <f>'Major Minerals'!C94</f>
        <v>1</v>
      </c>
      <c r="K92" s="544">
        <f>'Major Minerals'!D94</f>
        <v>18.898</v>
      </c>
      <c r="L92" s="544">
        <f>'Major Minerals'!E94</f>
        <v>997.58</v>
      </c>
      <c r="M92" s="544">
        <f>'Major Minerals'!F94</f>
        <v>3491530</v>
      </c>
      <c r="N92" s="544">
        <f>'Major Minerals'!G94</f>
        <v>276000</v>
      </c>
      <c r="O92" s="544">
        <f>'Major Minerals'!H94</f>
        <v>20</v>
      </c>
    </row>
    <row r="93" spans="1:15" s="393" customFormat="1" ht="17.100000000000001" customHeight="1" x14ac:dyDescent="0.25">
      <c r="A93" s="412"/>
      <c r="B93" s="124"/>
      <c r="C93" s="414"/>
      <c r="D93" s="415"/>
      <c r="E93" s="416"/>
      <c r="F93" s="416"/>
      <c r="G93" s="416"/>
      <c r="H93" s="414"/>
      <c r="J93" s="394">
        <f>C92-J92</f>
        <v>0</v>
      </c>
      <c r="K93" s="394">
        <f t="shared" ref="K93:O93" si="23">D92-K92</f>
        <v>0</v>
      </c>
      <c r="L93" s="394">
        <f t="shared" si="23"/>
        <v>0</v>
      </c>
      <c r="M93" s="394">
        <f t="shared" si="23"/>
        <v>0</v>
      </c>
      <c r="N93" s="394">
        <f t="shared" si="23"/>
        <v>0</v>
      </c>
      <c r="O93" s="394">
        <f t="shared" si="23"/>
        <v>0</v>
      </c>
    </row>
    <row r="94" spans="1:15" s="393" customFormat="1" ht="17.100000000000001" customHeight="1" x14ac:dyDescent="0.25">
      <c r="A94" s="352"/>
      <c r="B94" s="124"/>
      <c r="C94" s="418"/>
      <c r="D94" s="1138" t="s">
        <v>93</v>
      </c>
      <c r="E94" s="1138"/>
      <c r="F94" s="420"/>
      <c r="G94" s="420"/>
      <c r="H94" s="418"/>
    </row>
    <row r="95" spans="1:15" s="393" customFormat="1" ht="17.100000000000001" customHeight="1" x14ac:dyDescent="0.25">
      <c r="A95" s="1122" t="s">
        <v>2</v>
      </c>
      <c r="B95" s="1124" t="s">
        <v>270</v>
      </c>
      <c r="C95" s="249" t="s">
        <v>4</v>
      </c>
      <c r="D95" s="249" t="s">
        <v>5</v>
      </c>
      <c r="E95" s="249" t="s">
        <v>6</v>
      </c>
      <c r="F95" s="249" t="s">
        <v>7</v>
      </c>
      <c r="G95" s="249" t="s">
        <v>8</v>
      </c>
      <c r="H95" s="249" t="s">
        <v>9</v>
      </c>
    </row>
    <row r="96" spans="1:15" s="393" customFormat="1" ht="17.100000000000001" customHeight="1" x14ac:dyDescent="0.25">
      <c r="A96" s="1123"/>
      <c r="B96" s="1125"/>
      <c r="C96" s="2" t="s">
        <v>10</v>
      </c>
      <c r="D96" s="2" t="s">
        <v>78</v>
      </c>
      <c r="E96" s="2" t="s">
        <v>79</v>
      </c>
      <c r="F96" s="52" t="s">
        <v>80</v>
      </c>
      <c r="G96" s="52" t="s">
        <v>80</v>
      </c>
      <c r="H96" s="2" t="s">
        <v>13</v>
      </c>
    </row>
    <row r="97" spans="1:15" s="393" customFormat="1" ht="17.100000000000001" customHeight="1" x14ac:dyDescent="0.25">
      <c r="A97" s="166">
        <v>1</v>
      </c>
      <c r="B97" s="214" t="s">
        <v>245</v>
      </c>
      <c r="C97" s="279">
        <f>Distt.Major!C48</f>
        <v>0</v>
      </c>
      <c r="D97" s="279">
        <f>Distt.Major!D48</f>
        <v>0</v>
      </c>
      <c r="E97" s="279">
        <f>Distt.Major!E48</f>
        <v>0</v>
      </c>
      <c r="F97" s="279">
        <f>Distt.Major!F48</f>
        <v>0</v>
      </c>
      <c r="G97" s="279">
        <f>Distt.Major!G48</f>
        <v>0</v>
      </c>
      <c r="H97" s="279">
        <f>Distt.Major!H48</f>
        <v>0</v>
      </c>
    </row>
    <row r="98" spans="1:15" s="393" customFormat="1" ht="17.100000000000001" customHeight="1" x14ac:dyDescent="0.25">
      <c r="A98" s="166">
        <v>2</v>
      </c>
      <c r="B98" s="214" t="s">
        <v>408</v>
      </c>
      <c r="C98" s="279">
        <f>Distt.Major!C151</f>
        <v>0</v>
      </c>
      <c r="D98" s="279">
        <f>Distt.Major!D151</f>
        <v>0</v>
      </c>
      <c r="E98" s="279">
        <f>Distt.Major!E151</f>
        <v>513.55999999999995</v>
      </c>
      <c r="F98" s="279">
        <f>Distt.Major!F151</f>
        <v>35949199999.999992</v>
      </c>
      <c r="G98" s="279">
        <f>Distt.Major!G151</f>
        <v>2258726000</v>
      </c>
      <c r="H98" s="279">
        <f>Distt.Major!H151</f>
        <v>0</v>
      </c>
    </row>
    <row r="99" spans="1:15" s="393" customFormat="1" ht="17.100000000000001" customHeight="1" x14ac:dyDescent="0.25">
      <c r="A99" s="166">
        <v>2</v>
      </c>
      <c r="B99" s="214" t="s">
        <v>267</v>
      </c>
      <c r="C99" s="166">
        <f>Distt.Major!C184</f>
        <v>0</v>
      </c>
      <c r="D99" s="166">
        <f>Distt.Major!D184</f>
        <v>0</v>
      </c>
      <c r="E99" s="166">
        <f>Distt.Major!E184</f>
        <v>103.675</v>
      </c>
      <c r="F99" s="166">
        <f>Distt.Major!F184</f>
        <v>7257250000</v>
      </c>
      <c r="G99" s="166">
        <f>Distt.Major!G184</f>
        <v>442625200</v>
      </c>
      <c r="H99" s="166">
        <f>Distt.Major!H184</f>
        <v>0</v>
      </c>
    </row>
    <row r="100" spans="1:15" s="393" customFormat="1" ht="17.100000000000001" customHeight="1" x14ac:dyDescent="0.25">
      <c r="A100" s="1136" t="s">
        <v>50</v>
      </c>
      <c r="B100" s="1137"/>
      <c r="C100" s="259">
        <f t="shared" ref="C100:H100" si="24">SUM(C97:C99)</f>
        <v>0</v>
      </c>
      <c r="D100" s="260">
        <f t="shared" si="24"/>
        <v>0</v>
      </c>
      <c r="E100" s="261">
        <f t="shared" si="24"/>
        <v>617.2349999999999</v>
      </c>
      <c r="F100" s="261">
        <f t="shared" si="24"/>
        <v>43206449999.999992</v>
      </c>
      <c r="G100" s="261">
        <f t="shared" si="24"/>
        <v>2701351200</v>
      </c>
      <c r="H100" s="259">
        <f t="shared" si="24"/>
        <v>0</v>
      </c>
      <c r="J100" s="544">
        <f>'Major Minerals'!C102</f>
        <v>0</v>
      </c>
      <c r="K100" s="544">
        <f>'Major Minerals'!D102</f>
        <v>0</v>
      </c>
      <c r="L100" s="544">
        <f>'Major Minerals'!E102</f>
        <v>617.2349999999999</v>
      </c>
      <c r="M100" s="544">
        <f>'Major Minerals'!F102</f>
        <v>43206449999.999992</v>
      </c>
      <c r="N100" s="544">
        <f>'Major Minerals'!G102</f>
        <v>2701351200</v>
      </c>
      <c r="O100" s="544">
        <f>'Major Minerals'!H102</f>
        <v>0</v>
      </c>
    </row>
    <row r="101" spans="1:15" s="393" customFormat="1" ht="17.100000000000001" customHeight="1" x14ac:dyDescent="0.25">
      <c r="A101" s="412"/>
      <c r="B101" s="413"/>
      <c r="C101" s="414"/>
      <c r="D101" s="415"/>
      <c r="E101" s="416"/>
      <c r="F101" s="416"/>
      <c r="G101" s="416"/>
      <c r="H101" s="414"/>
      <c r="J101" s="394">
        <f>C100-J100</f>
        <v>0</v>
      </c>
      <c r="K101" s="394">
        <f t="shared" ref="K101:O101" si="25">D100-K100</f>
        <v>0</v>
      </c>
      <c r="L101" s="394">
        <f t="shared" si="25"/>
        <v>0</v>
      </c>
      <c r="M101" s="394">
        <f t="shared" si="25"/>
        <v>0</v>
      </c>
      <c r="N101" s="394">
        <f t="shared" si="25"/>
        <v>0</v>
      </c>
      <c r="O101" s="394">
        <f t="shared" si="25"/>
        <v>0</v>
      </c>
    </row>
    <row r="102" spans="1:15" s="393" customFormat="1" ht="17.100000000000001" customHeight="1" x14ac:dyDescent="0.25">
      <c r="A102" s="352"/>
      <c r="B102" s="417"/>
      <c r="C102" s="418"/>
      <c r="D102" s="1138" t="s">
        <v>29</v>
      </c>
      <c r="E102" s="1138"/>
      <c r="F102" s="420"/>
      <c r="G102" s="420"/>
      <c r="H102" s="418"/>
    </row>
    <row r="103" spans="1:15" s="393" customFormat="1" ht="17.100000000000001" customHeight="1" x14ac:dyDescent="0.25">
      <c r="A103" s="1122" t="s">
        <v>2</v>
      </c>
      <c r="B103" s="1124" t="s">
        <v>270</v>
      </c>
      <c r="C103" s="249" t="s">
        <v>4</v>
      </c>
      <c r="D103" s="249" t="s">
        <v>5</v>
      </c>
      <c r="E103" s="249" t="s">
        <v>6</v>
      </c>
      <c r="F103" s="249" t="s">
        <v>7</v>
      </c>
      <c r="G103" s="249" t="s">
        <v>8</v>
      </c>
      <c r="H103" s="249" t="s">
        <v>9</v>
      </c>
    </row>
    <row r="104" spans="1:15" s="393" customFormat="1" ht="17.100000000000001" customHeight="1" x14ac:dyDescent="0.25">
      <c r="A104" s="1123"/>
      <c r="B104" s="1125"/>
      <c r="C104" s="2" t="s">
        <v>10</v>
      </c>
      <c r="D104" s="2" t="s">
        <v>78</v>
      </c>
      <c r="E104" s="2" t="s">
        <v>79</v>
      </c>
      <c r="F104" s="52" t="s">
        <v>80</v>
      </c>
      <c r="G104" s="52" t="s">
        <v>80</v>
      </c>
      <c r="H104" s="2" t="s">
        <v>13</v>
      </c>
    </row>
    <row r="105" spans="1:15" s="393" customFormat="1" ht="17.100000000000001" customHeight="1" x14ac:dyDescent="0.25">
      <c r="A105" s="166">
        <v>1</v>
      </c>
      <c r="B105" s="19" t="s">
        <v>250</v>
      </c>
      <c r="C105" s="166">
        <f>Distt.Major!C82</f>
        <v>1</v>
      </c>
      <c r="D105" s="166">
        <f>Distt.Major!D82</f>
        <v>5</v>
      </c>
      <c r="E105" s="166">
        <f>Distt.Major!E82</f>
        <v>0</v>
      </c>
      <c r="F105" s="166">
        <f>Distt.Major!F82</f>
        <v>0</v>
      </c>
      <c r="G105" s="166">
        <f>Distt.Major!G82</f>
        <v>30767</v>
      </c>
      <c r="H105" s="166">
        <f>Distt.Major!H82</f>
        <v>0</v>
      </c>
    </row>
    <row r="106" spans="1:15" s="393" customFormat="1" ht="17.100000000000001" customHeight="1" x14ac:dyDescent="0.25">
      <c r="A106" s="166">
        <v>2</v>
      </c>
      <c r="B106" s="19" t="s">
        <v>255</v>
      </c>
      <c r="C106" s="143">
        <f>Distt.Major!C105</f>
        <v>5</v>
      </c>
      <c r="D106" s="143">
        <f>Distt.Major!D105</f>
        <v>1075</v>
      </c>
      <c r="E106" s="143">
        <f>Distt.Major!E105</f>
        <v>0</v>
      </c>
      <c r="F106" s="143">
        <f>Distt.Major!F105</f>
        <v>0</v>
      </c>
      <c r="G106" s="143">
        <f>Distt.Major!G105</f>
        <v>0</v>
      </c>
      <c r="H106" s="143">
        <f>Distt.Major!H105</f>
        <v>0</v>
      </c>
    </row>
    <row r="107" spans="1:15" s="393" customFormat="1" ht="17.100000000000001" customHeight="1" x14ac:dyDescent="0.25">
      <c r="A107" s="166">
        <v>3</v>
      </c>
      <c r="B107" s="19" t="s">
        <v>265</v>
      </c>
      <c r="C107" s="143">
        <f>'Office Major'!C202</f>
        <v>1</v>
      </c>
      <c r="D107" s="143">
        <f>'Office Major'!D202</f>
        <v>167.62</v>
      </c>
      <c r="E107" s="143">
        <f>'Office Major'!E202</f>
        <v>0</v>
      </c>
      <c r="F107" s="143">
        <f>'Office Major'!F202</f>
        <v>0</v>
      </c>
      <c r="G107" s="143">
        <f>'Office Major'!G202</f>
        <v>0</v>
      </c>
      <c r="H107" s="143">
        <f>'Office Major'!H202</f>
        <v>0</v>
      </c>
    </row>
    <row r="108" spans="1:15" s="393" customFormat="1" ht="17.100000000000001" customHeight="1" x14ac:dyDescent="0.25">
      <c r="A108" s="1136" t="s">
        <v>50</v>
      </c>
      <c r="B108" s="1137"/>
      <c r="C108" s="259">
        <f>SUM(C105:C107)</f>
        <v>7</v>
      </c>
      <c r="D108" s="259">
        <f t="shared" ref="D108:H108" si="26">SUM(D105:D107)</f>
        <v>1247.6199999999999</v>
      </c>
      <c r="E108" s="259">
        <f t="shared" si="26"/>
        <v>0</v>
      </c>
      <c r="F108" s="259">
        <f t="shared" si="26"/>
        <v>0</v>
      </c>
      <c r="G108" s="259">
        <f t="shared" si="26"/>
        <v>30767</v>
      </c>
      <c r="H108" s="259">
        <f t="shared" si="26"/>
        <v>0</v>
      </c>
      <c r="J108" s="544">
        <f>'Major Minerals'!C111</f>
        <v>7</v>
      </c>
      <c r="K108" s="544">
        <f>'Major Minerals'!D111</f>
        <v>1247.6199999999999</v>
      </c>
      <c r="L108" s="544">
        <f>'Major Minerals'!E111</f>
        <v>0</v>
      </c>
      <c r="M108" s="544">
        <f>'Major Minerals'!F111</f>
        <v>0</v>
      </c>
      <c r="N108" s="544">
        <f>'Major Minerals'!G111</f>
        <v>30767</v>
      </c>
      <c r="O108" s="544">
        <f>'Major Minerals'!H111</f>
        <v>0</v>
      </c>
    </row>
    <row r="109" spans="1:15" s="393" customFormat="1" ht="17.100000000000001" customHeight="1" x14ac:dyDescent="0.25">
      <c r="J109" s="394">
        <f>J108-C108</f>
        <v>0</v>
      </c>
      <c r="K109" s="394">
        <f t="shared" ref="K109:O109" si="27">K108-D108</f>
        <v>0</v>
      </c>
      <c r="L109" s="394">
        <f t="shared" si="27"/>
        <v>0</v>
      </c>
      <c r="M109" s="394">
        <f t="shared" si="27"/>
        <v>0</v>
      </c>
      <c r="N109" s="394">
        <f t="shared" si="27"/>
        <v>0</v>
      </c>
      <c r="O109" s="394">
        <f t="shared" si="27"/>
        <v>0</v>
      </c>
    </row>
    <row r="110" spans="1:15" s="393" customFormat="1" ht="17.100000000000001" customHeight="1" x14ac:dyDescent="0.25">
      <c r="A110" s="1138" t="s">
        <v>30</v>
      </c>
      <c r="B110" s="1138"/>
      <c r="C110" s="1138"/>
      <c r="D110" s="1138"/>
      <c r="E110" s="1138"/>
      <c r="F110" s="1138"/>
      <c r="G110" s="1138"/>
      <c r="H110" s="1138"/>
    </row>
    <row r="111" spans="1:15" s="393" customFormat="1" ht="17.100000000000001" customHeight="1" x14ac:dyDescent="0.25">
      <c r="A111" s="1122" t="s">
        <v>2</v>
      </c>
      <c r="B111" s="1124" t="s">
        <v>270</v>
      </c>
      <c r="C111" s="249" t="s">
        <v>4</v>
      </c>
      <c r="D111" s="249" t="s">
        <v>5</v>
      </c>
      <c r="E111" s="249" t="s">
        <v>6</v>
      </c>
      <c r="F111" s="249" t="s">
        <v>7</v>
      </c>
      <c r="G111" s="249" t="s">
        <v>8</v>
      </c>
      <c r="H111" s="249" t="s">
        <v>9</v>
      </c>
    </row>
    <row r="112" spans="1:15" s="393" customFormat="1" ht="17.100000000000001" customHeight="1" x14ac:dyDescent="0.25">
      <c r="A112" s="1123"/>
      <c r="B112" s="1125"/>
      <c r="C112" s="2" t="s">
        <v>10</v>
      </c>
      <c r="D112" s="2" t="s">
        <v>78</v>
      </c>
      <c r="E112" s="2" t="s">
        <v>79</v>
      </c>
      <c r="F112" s="52" t="s">
        <v>80</v>
      </c>
      <c r="G112" s="52" t="s">
        <v>80</v>
      </c>
      <c r="H112" s="2" t="s">
        <v>13</v>
      </c>
    </row>
    <row r="113" spans="1:15" s="393" customFormat="1" ht="17.100000000000001" customHeight="1" x14ac:dyDescent="0.25">
      <c r="A113" s="166">
        <v>1</v>
      </c>
      <c r="B113" s="19" t="s">
        <v>240</v>
      </c>
      <c r="C113" s="143">
        <f>Distt.Major!C13</f>
        <v>4</v>
      </c>
      <c r="D113" s="143">
        <f>Distt.Major!D13</f>
        <v>19</v>
      </c>
      <c r="E113" s="143">
        <f>Distt.Major!E13</f>
        <v>0</v>
      </c>
      <c r="F113" s="143">
        <f>Distt.Major!F13</f>
        <v>0</v>
      </c>
      <c r="G113" s="143">
        <f>Distt.Major!G13</f>
        <v>0</v>
      </c>
      <c r="H113" s="143">
        <f>Distt.Major!H13</f>
        <v>0</v>
      </c>
    </row>
    <row r="114" spans="1:15" s="393" customFormat="1" ht="17.100000000000001" customHeight="1" x14ac:dyDescent="0.25">
      <c r="A114" s="166">
        <v>2</v>
      </c>
      <c r="B114" s="19" t="s">
        <v>245</v>
      </c>
      <c r="C114" s="166">
        <f>Distt.Major!C50</f>
        <v>5</v>
      </c>
      <c r="D114" s="166">
        <f>Distt.Major!D50</f>
        <v>20.736999999999998</v>
      </c>
      <c r="E114" s="166">
        <f>Distt.Major!E50</f>
        <v>17104</v>
      </c>
      <c r="F114" s="166">
        <f>Distt.Major!F50</f>
        <v>71838522</v>
      </c>
      <c r="G114" s="166">
        <f>Distt.Major!G50</f>
        <v>2703770</v>
      </c>
      <c r="H114" s="166">
        <f>Distt.Major!H50</f>
        <v>40</v>
      </c>
    </row>
    <row r="115" spans="1:15" s="393" customFormat="1" ht="17.100000000000001" customHeight="1" x14ac:dyDescent="0.25">
      <c r="A115" s="166">
        <v>3</v>
      </c>
      <c r="B115" s="214" t="s">
        <v>408</v>
      </c>
      <c r="C115" s="166">
        <f>Distt.Major!C153</f>
        <v>1</v>
      </c>
      <c r="D115" s="166">
        <f>Distt.Major!D153</f>
        <v>4.3636999999999997</v>
      </c>
      <c r="E115" s="166">
        <f>Distt.Major!E153</f>
        <v>1050</v>
      </c>
      <c r="F115" s="166">
        <f>Distt.Major!F153</f>
        <v>4305000</v>
      </c>
      <c r="G115" s="166">
        <f>Distt.Major!G153</f>
        <v>172200</v>
      </c>
      <c r="H115" s="166">
        <f>Distt.Major!H153</f>
        <v>0</v>
      </c>
    </row>
    <row r="116" spans="1:15" s="393" customFormat="1" ht="17.100000000000001" customHeight="1" x14ac:dyDescent="0.25">
      <c r="A116" s="166">
        <v>4</v>
      </c>
      <c r="B116" s="19" t="s">
        <v>278</v>
      </c>
      <c r="C116" s="206">
        <f>Distt.Major!C175</f>
        <v>5</v>
      </c>
      <c r="D116" s="206">
        <f>Distt.Major!D175</f>
        <v>24.76</v>
      </c>
      <c r="E116" s="206">
        <f>Distt.Major!E175</f>
        <v>904</v>
      </c>
      <c r="F116" s="206">
        <f>Distt.Major!F175</f>
        <v>3750000</v>
      </c>
      <c r="G116" s="206">
        <f>Distt.Major!G175</f>
        <v>150000</v>
      </c>
      <c r="H116" s="206">
        <f>Distt.Major!H175</f>
        <v>0</v>
      </c>
    </row>
    <row r="117" spans="1:15" s="393" customFormat="1" ht="17.100000000000001" customHeight="1" x14ac:dyDescent="0.25">
      <c r="A117" s="1136" t="s">
        <v>50</v>
      </c>
      <c r="B117" s="1137"/>
      <c r="C117" s="259">
        <f t="shared" ref="C117:H117" si="28">SUM(C113:C116)</f>
        <v>15</v>
      </c>
      <c r="D117" s="260">
        <f t="shared" si="28"/>
        <v>68.860699999999994</v>
      </c>
      <c r="E117" s="261">
        <f t="shared" si="28"/>
        <v>19058</v>
      </c>
      <c r="F117" s="261">
        <f t="shared" si="28"/>
        <v>79893522</v>
      </c>
      <c r="G117" s="261">
        <f t="shared" si="28"/>
        <v>3025970</v>
      </c>
      <c r="H117" s="259">
        <f t="shared" si="28"/>
        <v>40</v>
      </c>
      <c r="J117" s="544">
        <f>'Major Minerals'!C121</f>
        <v>15</v>
      </c>
      <c r="K117" s="544">
        <f>'Major Minerals'!D121</f>
        <v>68.860700000000008</v>
      </c>
      <c r="L117" s="544">
        <f>'Major Minerals'!E121</f>
        <v>19058</v>
      </c>
      <c r="M117" s="544">
        <f>'Major Minerals'!F121</f>
        <v>79893522</v>
      </c>
      <c r="N117" s="544">
        <f>'Major Minerals'!G121</f>
        <v>3025970</v>
      </c>
      <c r="O117" s="544">
        <f>'Major Minerals'!H121</f>
        <v>40</v>
      </c>
    </row>
    <row r="118" spans="1:15" s="393" customFormat="1" ht="17.100000000000001" customHeight="1" x14ac:dyDescent="0.25">
      <c r="J118" s="394">
        <f>J117-C117</f>
        <v>0</v>
      </c>
      <c r="K118" s="394">
        <f t="shared" ref="K118:O118" si="29">K117-D117</f>
        <v>0</v>
      </c>
      <c r="L118" s="394">
        <f t="shared" si="29"/>
        <v>0</v>
      </c>
      <c r="M118" s="394">
        <f t="shared" si="29"/>
        <v>0</v>
      </c>
      <c r="N118" s="394">
        <f t="shared" si="29"/>
        <v>0</v>
      </c>
      <c r="O118" s="394">
        <f t="shared" si="29"/>
        <v>0</v>
      </c>
    </row>
    <row r="119" spans="1:15" s="393" customFormat="1" ht="17.100000000000001" customHeight="1" x14ac:dyDescent="0.25">
      <c r="A119" s="1138" t="s">
        <v>33</v>
      </c>
      <c r="B119" s="1138"/>
      <c r="C119" s="1138"/>
      <c r="D119" s="1138"/>
      <c r="E119" s="1138"/>
      <c r="F119" s="1138"/>
      <c r="G119" s="1138"/>
      <c r="H119" s="1138"/>
    </row>
    <row r="120" spans="1:15" s="393" customFormat="1" ht="17.100000000000001" customHeight="1" x14ac:dyDescent="0.25">
      <c r="A120" s="1122" t="s">
        <v>2</v>
      </c>
      <c r="B120" s="1124" t="s">
        <v>270</v>
      </c>
      <c r="C120" s="249" t="s">
        <v>4</v>
      </c>
      <c r="D120" s="249" t="s">
        <v>5</v>
      </c>
      <c r="E120" s="249" t="s">
        <v>6</v>
      </c>
      <c r="F120" s="249" t="s">
        <v>7</v>
      </c>
      <c r="G120" s="249" t="s">
        <v>8</v>
      </c>
      <c r="H120" s="249" t="s">
        <v>9</v>
      </c>
    </row>
    <row r="121" spans="1:15" s="393" customFormat="1" ht="17.100000000000001" customHeight="1" x14ac:dyDescent="0.25">
      <c r="A121" s="1123"/>
      <c r="B121" s="1125"/>
      <c r="C121" s="2" t="s">
        <v>10</v>
      </c>
      <c r="D121" s="2" t="s">
        <v>78</v>
      </c>
      <c r="E121" s="2" t="s">
        <v>79</v>
      </c>
      <c r="F121" s="52" t="s">
        <v>80</v>
      </c>
      <c r="G121" s="52" t="s">
        <v>80</v>
      </c>
      <c r="H121" s="2" t="s">
        <v>13</v>
      </c>
    </row>
    <row r="122" spans="1:15" s="393" customFormat="1" ht="17.100000000000001" customHeight="1" x14ac:dyDescent="0.25">
      <c r="A122" s="210">
        <v>1</v>
      </c>
      <c r="B122" s="19" t="s">
        <v>245</v>
      </c>
      <c r="C122" s="186">
        <f>Distt.Major!C46</f>
        <v>3</v>
      </c>
      <c r="D122" s="186">
        <f>Distt.Major!D46</f>
        <v>154</v>
      </c>
      <c r="E122" s="186">
        <f>Distt.Major!E46</f>
        <v>0</v>
      </c>
      <c r="F122" s="186">
        <f>Distt.Major!F46</f>
        <v>0</v>
      </c>
      <c r="G122" s="186">
        <f>Distt.Major!G46</f>
        <v>0</v>
      </c>
      <c r="H122" s="186">
        <f>Distt.Major!H46</f>
        <v>0</v>
      </c>
    </row>
    <row r="123" spans="1:15" s="393" customFormat="1" ht="17.100000000000001" customHeight="1" x14ac:dyDescent="0.25">
      <c r="A123" s="166">
        <v>2</v>
      </c>
      <c r="B123" s="19" t="s">
        <v>267</v>
      </c>
      <c r="C123" s="166">
        <f>Distt.Major!C190</f>
        <v>0</v>
      </c>
      <c r="D123" s="166">
        <f>Distt.Major!D190</f>
        <v>0</v>
      </c>
      <c r="E123" s="166">
        <f>Distt.Major!E190</f>
        <v>0</v>
      </c>
      <c r="F123" s="166">
        <f>Distt.Major!F190</f>
        <v>0</v>
      </c>
      <c r="G123" s="166">
        <f>Distt.Major!G190</f>
        <v>0</v>
      </c>
      <c r="H123" s="166">
        <f>Distt.Major!H190</f>
        <v>0</v>
      </c>
    </row>
    <row r="124" spans="1:15" s="393" customFormat="1" ht="17.100000000000001" customHeight="1" x14ac:dyDescent="0.25">
      <c r="A124" s="1136" t="s">
        <v>50</v>
      </c>
      <c r="B124" s="1137"/>
      <c r="C124" s="259">
        <f>SUM(C123+C122)</f>
        <v>3</v>
      </c>
      <c r="D124" s="259">
        <f t="shared" ref="D124:H124" si="30">SUM(D123+D122)</f>
        <v>154</v>
      </c>
      <c r="E124" s="259">
        <f t="shared" si="30"/>
        <v>0</v>
      </c>
      <c r="F124" s="259">
        <f t="shared" si="30"/>
        <v>0</v>
      </c>
      <c r="G124" s="259">
        <f t="shared" si="30"/>
        <v>0</v>
      </c>
      <c r="H124" s="259">
        <f t="shared" si="30"/>
        <v>0</v>
      </c>
      <c r="J124" s="545">
        <f>'Major Minerals'!C128</f>
        <v>3</v>
      </c>
      <c r="K124" s="545">
        <f>'Major Minerals'!D128</f>
        <v>154</v>
      </c>
      <c r="L124" s="545">
        <f>'Major Minerals'!E128</f>
        <v>0</v>
      </c>
      <c r="M124" s="545">
        <f>'Major Minerals'!F128</f>
        <v>0</v>
      </c>
      <c r="N124" s="545">
        <f>'Major Minerals'!G128</f>
        <v>0</v>
      </c>
      <c r="O124" s="545">
        <f>'Major Minerals'!H128</f>
        <v>0</v>
      </c>
    </row>
    <row r="125" spans="1:15" s="393" customFormat="1" ht="17.100000000000001" customHeight="1" x14ac:dyDescent="0.25">
      <c r="A125" s="412"/>
      <c r="B125" s="413"/>
      <c r="C125" s="414"/>
      <c r="D125" s="415"/>
      <c r="E125" s="416"/>
      <c r="F125" s="416"/>
      <c r="G125" s="416"/>
      <c r="H125" s="414"/>
      <c r="J125" s="393">
        <f>J124-C124</f>
        <v>0</v>
      </c>
      <c r="K125" s="393">
        <f t="shared" ref="K125:O125" si="31">K124-D124</f>
        <v>0</v>
      </c>
      <c r="L125" s="393">
        <f t="shared" si="31"/>
        <v>0</v>
      </c>
      <c r="M125" s="393">
        <f t="shared" si="31"/>
        <v>0</v>
      </c>
      <c r="N125" s="393">
        <f t="shared" si="31"/>
        <v>0</v>
      </c>
      <c r="O125" s="393">
        <f t="shared" si="31"/>
        <v>0</v>
      </c>
    </row>
    <row r="126" spans="1:15" s="393" customFormat="1" ht="17.100000000000001" customHeight="1" x14ac:dyDescent="0.25">
      <c r="A126" s="1138" t="s">
        <v>35</v>
      </c>
      <c r="B126" s="1138"/>
      <c r="C126" s="1138"/>
      <c r="D126" s="1138"/>
      <c r="E126" s="1138"/>
      <c r="F126" s="1138"/>
      <c r="G126" s="1138"/>
      <c r="H126" s="1138"/>
    </row>
    <row r="127" spans="1:15" s="393" customFormat="1" ht="17.100000000000001" customHeight="1" x14ac:dyDescent="0.25">
      <c r="A127" s="1122" t="s">
        <v>2</v>
      </c>
      <c r="B127" s="1124" t="s">
        <v>270</v>
      </c>
      <c r="C127" s="249" t="s">
        <v>4</v>
      </c>
      <c r="D127" s="249" t="s">
        <v>5</v>
      </c>
      <c r="E127" s="249" t="s">
        <v>6</v>
      </c>
      <c r="F127" s="249" t="s">
        <v>7</v>
      </c>
      <c r="G127" s="249" t="s">
        <v>8</v>
      </c>
      <c r="H127" s="249" t="s">
        <v>9</v>
      </c>
    </row>
    <row r="128" spans="1:15" s="393" customFormat="1" ht="17.100000000000001" customHeight="1" x14ac:dyDescent="0.25">
      <c r="A128" s="1123"/>
      <c r="B128" s="1125"/>
      <c r="C128" s="2" t="s">
        <v>10</v>
      </c>
      <c r="D128" s="2" t="s">
        <v>78</v>
      </c>
      <c r="E128" s="2" t="s">
        <v>79</v>
      </c>
      <c r="F128" s="52" t="s">
        <v>80</v>
      </c>
      <c r="G128" s="52" t="s">
        <v>80</v>
      </c>
      <c r="H128" s="2" t="s">
        <v>13</v>
      </c>
    </row>
    <row r="129" spans="1:15" s="393" customFormat="1" ht="17.100000000000001" customHeight="1" x14ac:dyDescent="0.25">
      <c r="A129" s="166">
        <v>1</v>
      </c>
      <c r="B129" s="214" t="s">
        <v>240</v>
      </c>
      <c r="C129" s="144">
        <f>Distt.Major!C15</f>
        <v>2</v>
      </c>
      <c r="D129" s="144">
        <f>Distt.Major!D15</f>
        <v>1304.83</v>
      </c>
      <c r="E129" s="144">
        <f>Distt.Major!E15</f>
        <v>2882595</v>
      </c>
      <c r="F129" s="144">
        <f>Distt.Major!F15</f>
        <v>2161946138</v>
      </c>
      <c r="G129" s="144">
        <f>Distt.Major!G15</f>
        <v>230607588</v>
      </c>
      <c r="H129" s="144">
        <f>Distt.Major!H15</f>
        <v>118</v>
      </c>
    </row>
    <row r="130" spans="1:15" s="393" customFormat="1" ht="17.100000000000001" customHeight="1" x14ac:dyDescent="0.25">
      <c r="A130" s="166">
        <v>2</v>
      </c>
      <c r="B130" s="214" t="s">
        <v>271</v>
      </c>
      <c r="C130" s="137">
        <f>Distt.Major!C23</f>
        <v>0</v>
      </c>
      <c r="D130" s="137">
        <f>Distt.Major!D23</f>
        <v>0</v>
      </c>
      <c r="E130" s="137">
        <f>Distt.Major!E23</f>
        <v>0</v>
      </c>
      <c r="F130" s="137">
        <f>Distt.Major!F23</f>
        <v>0</v>
      </c>
      <c r="G130" s="137">
        <f>Distt.Major!G23</f>
        <v>0</v>
      </c>
      <c r="H130" s="137">
        <f>Distt.Major!H23</f>
        <v>0</v>
      </c>
    </row>
    <row r="131" spans="1:15" s="393" customFormat="1" ht="17.100000000000001" customHeight="1" x14ac:dyDescent="0.25">
      <c r="A131" s="166">
        <v>3</v>
      </c>
      <c r="B131" s="214" t="s">
        <v>242</v>
      </c>
      <c r="C131" s="166">
        <f>Distt.Major!C30</f>
        <v>1</v>
      </c>
      <c r="D131" s="166">
        <f>Distt.Major!D30</f>
        <v>65.819999999999993</v>
      </c>
      <c r="E131" s="166">
        <f>Distt.Major!E30</f>
        <v>1347996.7</v>
      </c>
      <c r="F131" s="166">
        <f>Distt.Major!F30</f>
        <v>876197835</v>
      </c>
      <c r="G131" s="166">
        <f>Distt.Major!G30</f>
        <v>107990640</v>
      </c>
      <c r="H131" s="166">
        <f>Distt.Major!H30</f>
        <v>125</v>
      </c>
    </row>
    <row r="132" spans="1:15" s="393" customFormat="1" ht="17.100000000000001" customHeight="1" x14ac:dyDescent="0.25">
      <c r="A132" s="166">
        <v>4</v>
      </c>
      <c r="B132" s="214" t="s">
        <v>259</v>
      </c>
      <c r="C132" s="143">
        <f>Distt.Major!C134</f>
        <v>9</v>
      </c>
      <c r="D132" s="143">
        <f>Distt.Major!D134</f>
        <v>3419.27</v>
      </c>
      <c r="E132" s="143">
        <f>Distt.Major!E134</f>
        <v>6157765.6100000003</v>
      </c>
      <c r="F132" s="143">
        <f>Distt.Major!F134</f>
        <v>4421188688</v>
      </c>
      <c r="G132" s="143">
        <f>Distt.Major!G134</f>
        <v>492621274</v>
      </c>
      <c r="H132" s="143">
        <f>Distt.Major!H134</f>
        <v>395</v>
      </c>
    </row>
    <row r="133" spans="1:15" s="393" customFormat="1" ht="17.100000000000001" customHeight="1" x14ac:dyDescent="0.25">
      <c r="A133" s="166">
        <v>5</v>
      </c>
      <c r="B133" s="214" t="s">
        <v>247</v>
      </c>
      <c r="C133" s="252">
        <f>Distt.Major!C65</f>
        <v>1</v>
      </c>
      <c r="D133" s="252">
        <f>Distt.Major!D65</f>
        <v>1516.8</v>
      </c>
      <c r="E133" s="252">
        <f>Distt.Major!E65</f>
        <v>885550</v>
      </c>
      <c r="F133" s="252">
        <f>Distt.Major!F65</f>
        <v>708440000</v>
      </c>
      <c r="G133" s="252">
        <f>Distt.Major!G65</f>
        <v>72000000</v>
      </c>
      <c r="H133" s="252">
        <f>Distt.Major!H65</f>
        <v>40</v>
      </c>
    </row>
    <row r="134" spans="1:15" s="393" customFormat="1" ht="17.100000000000001" customHeight="1" x14ac:dyDescent="0.25">
      <c r="A134" s="613">
        <v>6</v>
      </c>
      <c r="B134" s="214" t="s">
        <v>264</v>
      </c>
      <c r="C134" s="145">
        <f>Distt.Major!C159</f>
        <v>0</v>
      </c>
      <c r="D134" s="145">
        <f>Distt.Major!D159</f>
        <v>0</v>
      </c>
      <c r="E134" s="145">
        <f>Distt.Major!E159</f>
        <v>0</v>
      </c>
      <c r="F134" s="145">
        <f>Distt.Major!F159</f>
        <v>0</v>
      </c>
      <c r="G134" s="145">
        <f>Distt.Major!G159</f>
        <v>0</v>
      </c>
      <c r="H134" s="145">
        <f>Distt.Major!H159</f>
        <v>0</v>
      </c>
    </row>
    <row r="135" spans="1:15" s="393" customFormat="1" ht="17.100000000000001" customHeight="1" x14ac:dyDescent="0.25">
      <c r="A135" s="613">
        <v>7</v>
      </c>
      <c r="B135" s="214" t="s">
        <v>248</v>
      </c>
      <c r="C135" s="143">
        <f>Distt.Major!C71</f>
        <v>12</v>
      </c>
      <c r="D135" s="143">
        <f>Distt.Major!D71</f>
        <v>6549.692</v>
      </c>
      <c r="E135" s="143">
        <f>Distt.Major!E71</f>
        <v>37872562</v>
      </c>
      <c r="F135" s="143">
        <f>Distt.Major!F71</f>
        <v>26225485534</v>
      </c>
      <c r="G135" s="143">
        <f>Distt.Major!G71</f>
        <v>3074692432</v>
      </c>
      <c r="H135" s="143">
        <f>Distt.Major!H71</f>
        <v>1117</v>
      </c>
    </row>
    <row r="136" spans="1:15" s="393" customFormat="1" ht="17.100000000000001" customHeight="1" x14ac:dyDescent="0.25">
      <c r="A136" s="613">
        <v>8</v>
      </c>
      <c r="B136" s="214" t="s">
        <v>274</v>
      </c>
      <c r="C136" s="216">
        <f>Distt.Major!C127</f>
        <v>1</v>
      </c>
      <c r="D136" s="216">
        <f>Distt.Major!D127</f>
        <v>895.42</v>
      </c>
      <c r="E136" s="216">
        <f>Distt.Major!E127</f>
        <v>3278226</v>
      </c>
      <c r="F136" s="216">
        <f>Distt.Major!F127</f>
        <v>2294758200</v>
      </c>
      <c r="G136" s="216">
        <f>Distt.Major!G127</f>
        <v>256000000</v>
      </c>
      <c r="H136" s="216">
        <f>Distt.Major!H127</f>
        <v>168</v>
      </c>
    </row>
    <row r="137" spans="1:15" s="393" customFormat="1" ht="17.100000000000001" customHeight="1" x14ac:dyDescent="0.25">
      <c r="A137" s="613">
        <v>9</v>
      </c>
      <c r="B137" s="214" t="s">
        <v>265</v>
      </c>
      <c r="C137" s="204">
        <f>Distt.Major!C166</f>
        <v>5</v>
      </c>
      <c r="D137" s="204">
        <f>Distt.Major!D166</f>
        <v>1124.01</v>
      </c>
      <c r="E137" s="204">
        <f>Distt.Major!E166</f>
        <v>12697793</v>
      </c>
      <c r="F137" s="204">
        <f>Distt.Major!F166</f>
        <v>8888455100</v>
      </c>
      <c r="G137" s="204">
        <f>Distt.Major!G166</f>
        <v>1016640000</v>
      </c>
      <c r="H137" s="204">
        <f>Distt.Major!H166</f>
        <v>960</v>
      </c>
    </row>
    <row r="138" spans="1:15" s="393" customFormat="1" ht="17.100000000000001" customHeight="1" x14ac:dyDescent="0.25">
      <c r="A138" s="613">
        <v>10</v>
      </c>
      <c r="B138" s="214" t="s">
        <v>260</v>
      </c>
      <c r="C138" s="166">
        <f>Distt.Major!C140</f>
        <v>6</v>
      </c>
      <c r="D138" s="166">
        <f>Distt.Major!D140</f>
        <v>2641.34</v>
      </c>
      <c r="E138" s="166">
        <f>Distt.Major!E140</f>
        <v>25588726</v>
      </c>
      <c r="F138" s="166">
        <f>Distt.Major!F140</f>
        <v>16632672446</v>
      </c>
      <c r="G138" s="166">
        <f>Distt.Major!G140</f>
        <v>2134795320</v>
      </c>
      <c r="H138" s="166">
        <f>Distt.Major!H140</f>
        <v>350</v>
      </c>
    </row>
    <row r="139" spans="1:15" s="393" customFormat="1" ht="17.100000000000001" customHeight="1" x14ac:dyDescent="0.25">
      <c r="A139" s="613">
        <v>11</v>
      </c>
      <c r="B139" s="214" t="s">
        <v>256</v>
      </c>
      <c r="C139" s="166">
        <f>Distt.Major!C112</f>
        <v>1</v>
      </c>
      <c r="D139" s="166">
        <f>Distt.Major!D112</f>
        <v>624</v>
      </c>
      <c r="E139" s="166">
        <f>Distt.Major!E112</f>
        <v>1064395</v>
      </c>
      <c r="F139" s="166">
        <f>Distt.Major!F112</f>
        <v>851516000</v>
      </c>
      <c r="G139" s="166">
        <f>Distt.Major!G112</f>
        <v>100606000</v>
      </c>
      <c r="H139" s="166">
        <f>Distt.Major!H112</f>
        <v>60</v>
      </c>
    </row>
    <row r="140" spans="1:15" s="393" customFormat="1" ht="17.100000000000001" customHeight="1" x14ac:dyDescent="0.25">
      <c r="A140" s="613">
        <v>12</v>
      </c>
      <c r="B140" s="214" t="s">
        <v>252</v>
      </c>
      <c r="C140" s="166">
        <f>Distt.Major!C90</f>
        <v>3</v>
      </c>
      <c r="D140" s="166">
        <f>Distt.Major!D90</f>
        <v>899.93</v>
      </c>
      <c r="E140" s="166">
        <f>Distt.Major!E90</f>
        <v>4684139</v>
      </c>
      <c r="F140" s="166">
        <f>Distt.Major!F90</f>
        <v>2810483400</v>
      </c>
      <c r="G140" s="166">
        <f>Distt.Major!G90</f>
        <v>374860600</v>
      </c>
      <c r="H140" s="166">
        <f>Distt.Major!H90</f>
        <v>290</v>
      </c>
    </row>
    <row r="141" spans="1:15" s="393" customFormat="1" ht="17.100000000000001" customHeight="1" x14ac:dyDescent="0.25">
      <c r="A141" s="613">
        <v>13</v>
      </c>
      <c r="B141" s="214" t="s">
        <v>257</v>
      </c>
      <c r="C141" s="166">
        <f>Distt.Major!C121</f>
        <v>1</v>
      </c>
      <c r="D141" s="166">
        <f>Distt.Major!D121</f>
        <v>195.7064</v>
      </c>
      <c r="E141" s="166">
        <f>Distt.Major!E121</f>
        <v>0</v>
      </c>
      <c r="F141" s="166">
        <f>Distt.Major!F121</f>
        <v>0</v>
      </c>
      <c r="G141" s="166">
        <f>Distt.Major!G121</f>
        <v>587121</v>
      </c>
      <c r="H141" s="166">
        <f>Distt.Major!H121</f>
        <v>0</v>
      </c>
    </row>
    <row r="142" spans="1:15" s="393" customFormat="1" ht="17.100000000000001" customHeight="1" x14ac:dyDescent="0.25">
      <c r="A142" s="613">
        <v>14</v>
      </c>
      <c r="B142" s="214" t="s">
        <v>267</v>
      </c>
      <c r="C142" s="166">
        <f>Distt.Major!C189</f>
        <v>2</v>
      </c>
      <c r="D142" s="166">
        <f>Distt.Major!D189</f>
        <v>918.27</v>
      </c>
      <c r="E142" s="166">
        <f>Distt.Major!E189</f>
        <v>2913083</v>
      </c>
      <c r="F142" s="166">
        <f>Distt.Major!F189</f>
        <v>2039158100</v>
      </c>
      <c r="G142" s="166">
        <f>Distt.Major!G189</f>
        <v>233259940</v>
      </c>
      <c r="H142" s="166">
        <f>Distt.Major!H189</f>
        <v>165</v>
      </c>
    </row>
    <row r="143" spans="1:15" s="393" customFormat="1" ht="17.100000000000001" customHeight="1" x14ac:dyDescent="0.25">
      <c r="A143" s="613">
        <v>15</v>
      </c>
      <c r="B143" s="214" t="s">
        <v>254</v>
      </c>
      <c r="C143" s="143">
        <f>Distt.Major!C98</f>
        <v>4</v>
      </c>
      <c r="D143" s="143">
        <f>Distt.Major!D98</f>
        <v>2817.52</v>
      </c>
      <c r="E143" s="143">
        <f>Distt.Major!E98</f>
        <v>3292847</v>
      </c>
      <c r="F143" s="143">
        <f>Distt.Major!F98</f>
        <v>2087664998</v>
      </c>
      <c r="G143" s="143">
        <f>Distt.Major!G98</f>
        <v>337687880</v>
      </c>
      <c r="H143" s="143">
        <f>Distt.Major!H98</f>
        <v>520</v>
      </c>
    </row>
    <row r="144" spans="1:15" s="393" customFormat="1" ht="17.100000000000001" customHeight="1" x14ac:dyDescent="0.25">
      <c r="A144" s="1136" t="s">
        <v>50</v>
      </c>
      <c r="B144" s="1137"/>
      <c r="C144" s="259">
        <f>SUM(C129:C143)</f>
        <v>48</v>
      </c>
      <c r="D144" s="260">
        <f t="shared" ref="D144:H144" si="32">SUM(D129:D143)</f>
        <v>22972.608400000001</v>
      </c>
      <c r="E144" s="261">
        <f t="shared" si="32"/>
        <v>102665678.31</v>
      </c>
      <c r="F144" s="261">
        <f t="shared" si="32"/>
        <v>69997966439</v>
      </c>
      <c r="G144" s="261">
        <f t="shared" si="32"/>
        <v>8432348795</v>
      </c>
      <c r="H144" s="259">
        <f t="shared" si="32"/>
        <v>4308</v>
      </c>
      <c r="J144" s="544">
        <f>'Major Minerals'!C149</f>
        <v>48</v>
      </c>
      <c r="K144" s="544">
        <f>'Major Minerals'!D149</f>
        <v>22972.608400000001</v>
      </c>
      <c r="L144" s="544">
        <f>'Major Minerals'!E149</f>
        <v>102665678.31</v>
      </c>
      <c r="M144" s="544">
        <f>'Major Minerals'!F149</f>
        <v>69997966439</v>
      </c>
      <c r="N144" s="544">
        <f>'Major Minerals'!G149</f>
        <v>8432348795</v>
      </c>
      <c r="O144" s="544">
        <f>'Major Minerals'!H149</f>
        <v>4308</v>
      </c>
    </row>
    <row r="145" spans="1:15" s="393" customFormat="1" ht="17.100000000000001" customHeight="1" x14ac:dyDescent="0.25">
      <c r="J145" s="394">
        <f>J144-C144</f>
        <v>0</v>
      </c>
      <c r="K145" s="394">
        <f t="shared" ref="K145:O145" si="33">K144-D144</f>
        <v>0</v>
      </c>
      <c r="L145" s="394">
        <f t="shared" si="33"/>
        <v>0</v>
      </c>
      <c r="M145" s="394">
        <f t="shared" si="33"/>
        <v>0</v>
      </c>
      <c r="N145" s="394">
        <f t="shared" si="33"/>
        <v>0</v>
      </c>
      <c r="O145" s="394">
        <f t="shared" si="33"/>
        <v>0</v>
      </c>
    </row>
    <row r="146" spans="1:15" s="393" customFormat="1" ht="17.100000000000001" customHeight="1" x14ac:dyDescent="0.25">
      <c r="A146" s="1138" t="s">
        <v>34</v>
      </c>
      <c r="B146" s="1138"/>
      <c r="C146" s="1138"/>
      <c r="D146" s="1138"/>
      <c r="E146" s="1138"/>
      <c r="F146" s="1138"/>
      <c r="G146" s="1138"/>
      <c r="H146" s="1138"/>
    </row>
    <row r="147" spans="1:15" s="393" customFormat="1" ht="17.100000000000001" customHeight="1" x14ac:dyDescent="0.25">
      <c r="A147" s="1122" t="s">
        <v>2</v>
      </c>
      <c r="B147" s="1124" t="s">
        <v>270</v>
      </c>
      <c r="C147" s="249" t="s">
        <v>4</v>
      </c>
      <c r="D147" s="249" t="s">
        <v>5</v>
      </c>
      <c r="E147" s="249" t="s">
        <v>6</v>
      </c>
      <c r="F147" s="249" t="s">
        <v>7</v>
      </c>
      <c r="G147" s="249" t="s">
        <v>8</v>
      </c>
      <c r="H147" s="249" t="s">
        <v>9</v>
      </c>
    </row>
    <row r="148" spans="1:15" s="393" customFormat="1" ht="17.100000000000001" customHeight="1" x14ac:dyDescent="0.25">
      <c r="A148" s="1123"/>
      <c r="B148" s="1125"/>
      <c r="C148" s="2" t="s">
        <v>10</v>
      </c>
      <c r="D148" s="2" t="s">
        <v>78</v>
      </c>
      <c r="E148" s="2" t="s">
        <v>79</v>
      </c>
      <c r="F148" s="52" t="s">
        <v>80</v>
      </c>
      <c r="G148" s="52" t="s">
        <v>80</v>
      </c>
      <c r="H148" s="2" t="s">
        <v>13</v>
      </c>
    </row>
    <row r="149" spans="1:15" s="393" customFormat="1" ht="17.100000000000001" customHeight="1" x14ac:dyDescent="0.25">
      <c r="A149" s="166">
        <v>1</v>
      </c>
      <c r="B149" s="214" t="s">
        <v>281</v>
      </c>
      <c r="C149" s="166">
        <f>Distt.Major!C36</f>
        <v>4</v>
      </c>
      <c r="D149" s="166">
        <f>Distt.Major!D36</f>
        <v>11358.14</v>
      </c>
      <c r="E149" s="166">
        <f>Distt.Major!E36</f>
        <v>7285551.5800000001</v>
      </c>
      <c r="F149" s="166">
        <f>Distt.Major!F36</f>
        <v>16756768634</v>
      </c>
      <c r="G149" s="166">
        <f>Distt.Major!G36</f>
        <v>1133159442</v>
      </c>
      <c r="H149" s="166">
        <f>Distt.Major!H36</f>
        <v>95</v>
      </c>
    </row>
    <row r="150" spans="1:15" s="393" customFormat="1" ht="17.100000000000001" customHeight="1" x14ac:dyDescent="0.25">
      <c r="A150" s="166">
        <v>2</v>
      </c>
      <c r="B150" s="214" t="s">
        <v>246</v>
      </c>
      <c r="C150" s="143">
        <f>Distt.Major!C58</f>
        <v>2</v>
      </c>
      <c r="D150" s="143">
        <f>Distt.Major!D58</f>
        <v>2212.25</v>
      </c>
      <c r="E150" s="143">
        <f>Distt.Major!E58</f>
        <v>3015422</v>
      </c>
      <c r="F150" s="143">
        <f>Distt.Major!F58</f>
        <v>6030844060</v>
      </c>
      <c r="G150" s="143">
        <f>Distt.Major!G58</f>
        <v>410131221</v>
      </c>
      <c r="H150" s="143">
        <f>Distt.Major!H58</f>
        <v>230</v>
      </c>
    </row>
    <row r="151" spans="1:15" s="393" customFormat="1" ht="17.100000000000001" customHeight="1" x14ac:dyDescent="0.25">
      <c r="A151" s="166">
        <v>3</v>
      </c>
      <c r="B151" s="214" t="s">
        <v>259</v>
      </c>
      <c r="C151" s="197">
        <f>Distt.Major!C133</f>
        <v>1</v>
      </c>
      <c r="D151" s="197">
        <f>Distt.Major!D133</f>
        <v>1063.3499999999999</v>
      </c>
      <c r="E151" s="197">
        <f>Distt.Major!E133</f>
        <v>10633.5</v>
      </c>
      <c r="F151" s="197">
        <f>Distt.Major!F133</f>
        <v>19671975</v>
      </c>
      <c r="G151" s="197">
        <f>Distt.Major!G133</f>
        <v>2126700</v>
      </c>
      <c r="H151" s="197">
        <f>Distt.Major!H133</f>
        <v>250</v>
      </c>
    </row>
    <row r="152" spans="1:15" s="393" customFormat="1" ht="17.100000000000001" customHeight="1" x14ac:dyDescent="0.25">
      <c r="A152" s="1136" t="s">
        <v>50</v>
      </c>
      <c r="B152" s="1137"/>
      <c r="C152" s="259">
        <f t="shared" ref="C152:H152" si="34">SUM(C149:C151)</f>
        <v>7</v>
      </c>
      <c r="D152" s="260">
        <f t="shared" si="34"/>
        <v>14633.74</v>
      </c>
      <c r="E152" s="261">
        <f t="shared" si="34"/>
        <v>10311607.08</v>
      </c>
      <c r="F152" s="261">
        <f t="shared" si="34"/>
        <v>22807284669</v>
      </c>
      <c r="G152" s="261">
        <f t="shared" si="34"/>
        <v>1545417363</v>
      </c>
      <c r="H152" s="259">
        <f t="shared" si="34"/>
        <v>575</v>
      </c>
      <c r="J152" s="544">
        <f>'Major Minerals'!C157</f>
        <v>7</v>
      </c>
      <c r="K152" s="544">
        <f>'Major Minerals'!D157</f>
        <v>14633.74</v>
      </c>
      <c r="L152" s="544">
        <f>'Major Minerals'!E157</f>
        <v>10311607.08</v>
      </c>
      <c r="M152" s="544">
        <f>'Major Minerals'!F157</f>
        <v>22807284669</v>
      </c>
      <c r="N152" s="544">
        <f>'Major Minerals'!G157</f>
        <v>1545417363</v>
      </c>
      <c r="O152" s="544">
        <f>'Major Minerals'!H157</f>
        <v>575</v>
      </c>
    </row>
    <row r="153" spans="1:15" s="393" customFormat="1" ht="17.100000000000001" customHeight="1" x14ac:dyDescent="0.25">
      <c r="J153" s="394">
        <f>J152-C152</f>
        <v>0</v>
      </c>
      <c r="K153" s="394">
        <f t="shared" ref="K153:O153" si="35">K152-D152</f>
        <v>0</v>
      </c>
      <c r="L153" s="394">
        <f t="shared" si="35"/>
        <v>0</v>
      </c>
      <c r="M153" s="394">
        <f t="shared" si="35"/>
        <v>0</v>
      </c>
      <c r="N153" s="394">
        <f t="shared" si="35"/>
        <v>0</v>
      </c>
      <c r="O153" s="394">
        <f t="shared" si="35"/>
        <v>0</v>
      </c>
    </row>
    <row r="154" spans="1:15" s="393" customFormat="1" ht="17.100000000000001" customHeight="1" x14ac:dyDescent="0.25">
      <c r="A154" s="1138" t="s">
        <v>36</v>
      </c>
      <c r="B154" s="1138"/>
      <c r="C154" s="1138"/>
      <c r="D154" s="1138"/>
      <c r="E154" s="1138"/>
      <c r="F154" s="1138"/>
      <c r="G154" s="1138"/>
      <c r="H154" s="1138"/>
    </row>
    <row r="155" spans="1:15" s="393" customFormat="1" ht="17.100000000000001" customHeight="1" x14ac:dyDescent="0.25">
      <c r="A155" s="1122" t="s">
        <v>2</v>
      </c>
      <c r="B155" s="1124" t="s">
        <v>270</v>
      </c>
      <c r="C155" s="249" t="s">
        <v>4</v>
      </c>
      <c r="D155" s="249" t="s">
        <v>5</v>
      </c>
      <c r="E155" s="249" t="s">
        <v>6</v>
      </c>
      <c r="F155" s="249" t="s">
        <v>7</v>
      </c>
      <c r="G155" s="249" t="s">
        <v>8</v>
      </c>
      <c r="H155" s="249" t="s">
        <v>9</v>
      </c>
    </row>
    <row r="156" spans="1:15" s="393" customFormat="1" ht="17.100000000000001" customHeight="1" x14ac:dyDescent="0.25">
      <c r="A156" s="1123"/>
      <c r="B156" s="1125"/>
      <c r="C156" s="2" t="s">
        <v>10</v>
      </c>
      <c r="D156" s="2" t="s">
        <v>78</v>
      </c>
      <c r="E156" s="2" t="s">
        <v>79</v>
      </c>
      <c r="F156" s="52" t="s">
        <v>80</v>
      </c>
      <c r="G156" s="52" t="s">
        <v>80</v>
      </c>
      <c r="H156" s="2" t="s">
        <v>13</v>
      </c>
    </row>
    <row r="157" spans="1:15" s="393" customFormat="1" ht="17.100000000000001" customHeight="1" x14ac:dyDescent="0.25">
      <c r="A157" s="166">
        <v>1</v>
      </c>
      <c r="B157" s="19" t="s">
        <v>240</v>
      </c>
      <c r="C157" s="143">
        <f>Distt.Major!C11</f>
        <v>0</v>
      </c>
      <c r="D157" s="143">
        <f>Distt.Major!D11</f>
        <v>0</v>
      </c>
      <c r="E157" s="143">
        <f>Distt.Major!E11</f>
        <v>0</v>
      </c>
      <c r="F157" s="143">
        <f>Distt.Major!F11</f>
        <v>0</v>
      </c>
      <c r="G157" s="143">
        <f>Distt.Major!G11</f>
        <v>0</v>
      </c>
      <c r="H157" s="143">
        <f>Distt.Major!H11</f>
        <v>0</v>
      </c>
    </row>
    <row r="158" spans="1:15" s="393" customFormat="1" ht="17.100000000000001" customHeight="1" x14ac:dyDescent="0.25">
      <c r="A158" s="166">
        <v>2</v>
      </c>
      <c r="B158" s="19" t="s">
        <v>260</v>
      </c>
      <c r="C158" s="166">
        <f>Distt.Major!C142</f>
        <v>1</v>
      </c>
      <c r="D158" s="166">
        <f>Distt.Major!D142</f>
        <v>10</v>
      </c>
      <c r="E158" s="166">
        <f>Distt.Major!E142</f>
        <v>312</v>
      </c>
      <c r="F158" s="166">
        <f>Distt.Major!F142</f>
        <v>250000</v>
      </c>
      <c r="G158" s="166">
        <f>Distt.Major!G142</f>
        <v>5000</v>
      </c>
      <c r="H158" s="166">
        <f>Distt.Major!H142</f>
        <v>0</v>
      </c>
    </row>
    <row r="159" spans="1:15" s="393" customFormat="1" ht="17.100000000000001" customHeight="1" x14ac:dyDescent="0.25">
      <c r="A159" s="1136" t="s">
        <v>50</v>
      </c>
      <c r="B159" s="1137"/>
      <c r="C159" s="259">
        <f t="shared" ref="C159:H159" si="36">SUM(C157:C158)</f>
        <v>1</v>
      </c>
      <c r="D159" s="260">
        <f t="shared" si="36"/>
        <v>10</v>
      </c>
      <c r="E159" s="261">
        <f t="shared" si="36"/>
        <v>312</v>
      </c>
      <c r="F159" s="406">
        <f t="shared" si="36"/>
        <v>250000</v>
      </c>
      <c r="G159" s="261">
        <f t="shared" si="36"/>
        <v>5000</v>
      </c>
      <c r="H159" s="261">
        <f t="shared" si="36"/>
        <v>0</v>
      </c>
      <c r="J159" s="646">
        <f>'Major Minerals'!C165</f>
        <v>1</v>
      </c>
      <c r="K159" s="646">
        <f>'Major Minerals'!D165</f>
        <v>10</v>
      </c>
      <c r="L159" s="646">
        <f>'Major Minerals'!E165</f>
        <v>312</v>
      </c>
      <c r="M159" s="646">
        <f>'Major Minerals'!F165</f>
        <v>250000</v>
      </c>
      <c r="N159" s="646">
        <f>'Major Minerals'!G165</f>
        <v>5000</v>
      </c>
      <c r="O159" s="646">
        <f>'Major Minerals'!H165</f>
        <v>0</v>
      </c>
    </row>
    <row r="160" spans="1:15" s="393" customFormat="1" ht="17.100000000000001" customHeight="1" x14ac:dyDescent="0.25">
      <c r="J160" s="393">
        <f>J159-C159</f>
        <v>0</v>
      </c>
      <c r="K160" s="393">
        <f t="shared" ref="K160:O160" si="37">K159-D159</f>
        <v>0</v>
      </c>
      <c r="L160" s="393">
        <f t="shared" si="37"/>
        <v>0</v>
      </c>
      <c r="M160" s="393">
        <f t="shared" si="37"/>
        <v>0</v>
      </c>
      <c r="N160" s="393">
        <f t="shared" si="37"/>
        <v>0</v>
      </c>
      <c r="O160" s="393">
        <f t="shared" si="37"/>
        <v>0</v>
      </c>
    </row>
    <row r="161" spans="1:15" s="393" customFormat="1" ht="17.100000000000001" customHeight="1" x14ac:dyDescent="0.25">
      <c r="B161" s="352"/>
      <c r="C161" s="21"/>
      <c r="D161" s="1138" t="s">
        <v>42</v>
      </c>
      <c r="E161" s="1138"/>
      <c r="F161" s="420"/>
      <c r="G161" s="420"/>
      <c r="H161" s="420"/>
    </row>
    <row r="162" spans="1:15" s="393" customFormat="1" ht="17.100000000000001" customHeight="1" x14ac:dyDescent="0.25">
      <c r="A162" s="1122" t="s">
        <v>2</v>
      </c>
      <c r="B162" s="1124" t="s">
        <v>270</v>
      </c>
      <c r="C162" s="249" t="s">
        <v>4</v>
      </c>
      <c r="D162" s="249" t="s">
        <v>5</v>
      </c>
      <c r="E162" s="249" t="s">
        <v>6</v>
      </c>
      <c r="F162" s="249" t="s">
        <v>7</v>
      </c>
      <c r="G162" s="249" t="s">
        <v>8</v>
      </c>
      <c r="H162" s="249" t="s">
        <v>9</v>
      </c>
    </row>
    <row r="163" spans="1:15" s="393" customFormat="1" ht="17.100000000000001" customHeight="1" x14ac:dyDescent="0.25">
      <c r="A163" s="1123"/>
      <c r="B163" s="1125"/>
      <c r="C163" s="2" t="s">
        <v>10</v>
      </c>
      <c r="D163" s="2" t="s">
        <v>78</v>
      </c>
      <c r="E163" s="2" t="s">
        <v>79</v>
      </c>
      <c r="F163" s="52" t="s">
        <v>80</v>
      </c>
      <c r="G163" s="52" t="s">
        <v>80</v>
      </c>
      <c r="H163" s="2" t="s">
        <v>13</v>
      </c>
    </row>
    <row r="164" spans="1:15" s="393" customFormat="1" ht="17.100000000000001" customHeight="1" x14ac:dyDescent="0.25">
      <c r="A164" s="166">
        <v>1</v>
      </c>
      <c r="B164" s="19" t="s">
        <v>267</v>
      </c>
      <c r="C164" s="166">
        <f>Distt.Major!C185</f>
        <v>1</v>
      </c>
      <c r="D164" s="166">
        <f>Distt.Major!D185</f>
        <v>1370.37</v>
      </c>
      <c r="E164" s="166">
        <f>Distt.Major!E185</f>
        <v>1004653</v>
      </c>
      <c r="F164" s="166">
        <f>Distt.Major!F185</f>
        <v>2059538650</v>
      </c>
      <c r="G164" s="166">
        <f>Distt.Major!G185</f>
        <v>1504458298</v>
      </c>
      <c r="H164" s="166">
        <f>Distt.Major!H185</f>
        <v>980</v>
      </c>
    </row>
    <row r="165" spans="1:15" s="393" customFormat="1" ht="17.100000000000001" customHeight="1" x14ac:dyDescent="0.25">
      <c r="A165" s="1136" t="s">
        <v>50</v>
      </c>
      <c r="B165" s="1137"/>
      <c r="C165" s="259">
        <f t="shared" ref="C165:H165" si="38">SUM(C164)</f>
        <v>1</v>
      </c>
      <c r="D165" s="260">
        <f t="shared" si="38"/>
        <v>1370.37</v>
      </c>
      <c r="E165" s="259">
        <f t="shared" si="38"/>
        <v>1004653</v>
      </c>
      <c r="F165" s="259">
        <f t="shared" si="38"/>
        <v>2059538650</v>
      </c>
      <c r="G165" s="259">
        <f t="shared" si="38"/>
        <v>1504458298</v>
      </c>
      <c r="H165" s="259">
        <f t="shared" si="38"/>
        <v>980</v>
      </c>
      <c r="J165" s="545">
        <f>'Major Minerals'!C171</f>
        <v>1</v>
      </c>
      <c r="K165" s="545">
        <f>'Major Minerals'!D171</f>
        <v>1370.37</v>
      </c>
      <c r="L165" s="545">
        <f>'Major Minerals'!E171</f>
        <v>1004653</v>
      </c>
      <c r="M165" s="545">
        <f>'Major Minerals'!F171</f>
        <v>2059538650</v>
      </c>
      <c r="N165" s="545">
        <f>'Major Minerals'!G171</f>
        <v>1504458298</v>
      </c>
      <c r="O165" s="545">
        <f>'Major Minerals'!H171</f>
        <v>980</v>
      </c>
    </row>
    <row r="166" spans="1:15" s="393" customFormat="1" ht="17.100000000000001" customHeight="1" x14ac:dyDescent="0.25">
      <c r="A166" s="412"/>
      <c r="B166" s="413"/>
      <c r="C166" s="414"/>
      <c r="D166" s="415"/>
      <c r="E166" s="416"/>
      <c r="F166" s="416"/>
      <c r="G166" s="416"/>
      <c r="H166" s="414"/>
      <c r="J166" s="393">
        <f>J165-C165</f>
        <v>0</v>
      </c>
      <c r="K166" s="393">
        <f t="shared" ref="K166:O166" si="39">K165-D165</f>
        <v>0</v>
      </c>
      <c r="L166" s="393">
        <f t="shared" si="39"/>
        <v>0</v>
      </c>
      <c r="M166" s="393">
        <f t="shared" si="39"/>
        <v>0</v>
      </c>
      <c r="N166" s="393">
        <f t="shared" si="39"/>
        <v>0</v>
      </c>
      <c r="O166" s="393">
        <f t="shared" si="39"/>
        <v>0</v>
      </c>
    </row>
    <row r="167" spans="1:15" s="393" customFormat="1" ht="17.100000000000001" customHeight="1" x14ac:dyDescent="0.25">
      <c r="A167" s="352"/>
      <c r="B167" s="417"/>
      <c r="C167" s="418"/>
      <c r="D167" s="1138" t="s">
        <v>43</v>
      </c>
      <c r="E167" s="1138"/>
      <c r="F167" s="420"/>
      <c r="G167" s="420"/>
      <c r="H167" s="418"/>
    </row>
    <row r="168" spans="1:15" s="393" customFormat="1" ht="17.100000000000001" customHeight="1" x14ac:dyDescent="0.25">
      <c r="A168" s="1122" t="s">
        <v>2</v>
      </c>
      <c r="B168" s="1124" t="s">
        <v>270</v>
      </c>
      <c r="C168" s="249" t="s">
        <v>4</v>
      </c>
      <c r="D168" s="249" t="s">
        <v>5</v>
      </c>
      <c r="E168" s="249" t="s">
        <v>6</v>
      </c>
      <c r="F168" s="249" t="s">
        <v>7</v>
      </c>
      <c r="G168" s="249" t="s">
        <v>8</v>
      </c>
      <c r="H168" s="249" t="s">
        <v>9</v>
      </c>
    </row>
    <row r="169" spans="1:15" s="393" customFormat="1" ht="17.100000000000001" customHeight="1" x14ac:dyDescent="0.25">
      <c r="A169" s="1123"/>
      <c r="B169" s="1125"/>
      <c r="C169" s="2" t="s">
        <v>10</v>
      </c>
      <c r="D169" s="2" t="s">
        <v>78</v>
      </c>
      <c r="E169" s="2" t="s">
        <v>79</v>
      </c>
      <c r="F169" s="52" t="s">
        <v>80</v>
      </c>
      <c r="G169" s="52" t="s">
        <v>80</v>
      </c>
      <c r="H169" s="2" t="s">
        <v>13</v>
      </c>
    </row>
    <row r="170" spans="1:15" s="393" customFormat="1" ht="17.100000000000001" customHeight="1" x14ac:dyDescent="0.25">
      <c r="A170" s="166">
        <v>1</v>
      </c>
      <c r="B170" s="424" t="s">
        <v>243</v>
      </c>
      <c r="C170" s="166">
        <f>Distt.Major!C38</f>
        <v>3</v>
      </c>
      <c r="D170" s="166">
        <f>Distt.Major!D38</f>
        <v>480.35</v>
      </c>
      <c r="E170" s="166">
        <f>Distt.Major!E38</f>
        <v>10671</v>
      </c>
      <c r="F170" s="166">
        <f>Distt.Major!F38</f>
        <v>18675090</v>
      </c>
      <c r="G170" s="166">
        <f>Distt.Major!G38</f>
        <v>1812550</v>
      </c>
      <c r="H170" s="166">
        <f>Distt.Major!H38</f>
        <v>25</v>
      </c>
    </row>
    <row r="171" spans="1:15" s="393" customFormat="1" ht="17.100000000000001" customHeight="1" x14ac:dyDescent="0.25">
      <c r="A171" s="166">
        <v>2</v>
      </c>
      <c r="B171" s="19" t="s">
        <v>409</v>
      </c>
      <c r="C171" s="166">
        <f>Distt.Major!C57</f>
        <v>1</v>
      </c>
      <c r="D171" s="166">
        <f>Distt.Major!D57</f>
        <v>145</v>
      </c>
      <c r="E171" s="166">
        <f>Distt.Major!E57</f>
        <v>8900</v>
      </c>
      <c r="F171" s="166">
        <f>Distt.Major!F57</f>
        <v>16012000</v>
      </c>
      <c r="G171" s="166">
        <f>Distt.Major!G57</f>
        <v>1595000</v>
      </c>
      <c r="H171" s="166">
        <f>Distt.Major!H57</f>
        <v>0</v>
      </c>
    </row>
    <row r="172" spans="1:15" s="393" customFormat="1" ht="17.100000000000001" customHeight="1" x14ac:dyDescent="0.25">
      <c r="A172" s="166">
        <v>3</v>
      </c>
      <c r="B172" s="19" t="s">
        <v>267</v>
      </c>
      <c r="C172" s="206">
        <f>Distt.Major!C191</f>
        <v>0</v>
      </c>
      <c r="D172" s="206">
        <f>Distt.Major!D191</f>
        <v>0</v>
      </c>
      <c r="E172" s="206">
        <f>Distt.Major!E191</f>
        <v>0</v>
      </c>
      <c r="F172" s="206">
        <f>Distt.Major!F191</f>
        <v>0</v>
      </c>
      <c r="G172" s="206">
        <f>Distt.Major!G191</f>
        <v>0</v>
      </c>
      <c r="H172" s="206">
        <f>Distt.Major!H191</f>
        <v>0</v>
      </c>
    </row>
    <row r="173" spans="1:15" s="393" customFormat="1" ht="17.100000000000001" customHeight="1" x14ac:dyDescent="0.25">
      <c r="A173" s="1295" t="s">
        <v>50</v>
      </c>
      <c r="B173" s="1296"/>
      <c r="C173" s="259">
        <f>SUM(C170:C172)</f>
        <v>4</v>
      </c>
      <c r="D173" s="260">
        <f t="shared" ref="D173:H173" si="40">SUM(D170:D172)</f>
        <v>625.35</v>
      </c>
      <c r="E173" s="261">
        <f t="shared" si="40"/>
        <v>19571</v>
      </c>
      <c r="F173" s="261">
        <f t="shared" si="40"/>
        <v>34687090</v>
      </c>
      <c r="G173" s="261">
        <f t="shared" si="40"/>
        <v>3407550</v>
      </c>
      <c r="H173" s="259">
        <f t="shared" si="40"/>
        <v>25</v>
      </c>
      <c r="J173" s="544">
        <f>'Major Minerals'!C179</f>
        <v>4</v>
      </c>
      <c r="K173" s="544">
        <f>'Major Minerals'!D179</f>
        <v>625.35</v>
      </c>
      <c r="L173" s="544">
        <f>'Major Minerals'!E179</f>
        <v>19571</v>
      </c>
      <c r="M173" s="544">
        <f>'Major Minerals'!F179</f>
        <v>34687090</v>
      </c>
      <c r="N173" s="544">
        <f>'Major Minerals'!G179</f>
        <v>3407550</v>
      </c>
      <c r="O173" s="544">
        <f>'Major Minerals'!H179</f>
        <v>25</v>
      </c>
    </row>
    <row r="174" spans="1:15" s="393" customFormat="1" ht="17.100000000000001" customHeight="1" x14ac:dyDescent="0.25">
      <c r="A174" s="412"/>
      <c r="B174" s="413"/>
      <c r="C174" s="414"/>
      <c r="D174" s="415"/>
      <c r="E174" s="416"/>
      <c r="F174" s="416"/>
      <c r="G174" s="416"/>
      <c r="H174" s="414"/>
      <c r="J174" s="394">
        <f>J173-C173</f>
        <v>0</v>
      </c>
      <c r="K174" s="394">
        <f t="shared" ref="K174:O174" si="41">K173-D173</f>
        <v>0</v>
      </c>
      <c r="L174" s="394">
        <f t="shared" si="41"/>
        <v>0</v>
      </c>
      <c r="M174" s="394">
        <f t="shared" si="41"/>
        <v>0</v>
      </c>
      <c r="N174" s="394">
        <f t="shared" si="41"/>
        <v>0</v>
      </c>
      <c r="O174" s="394">
        <f t="shared" si="41"/>
        <v>0</v>
      </c>
    </row>
    <row r="175" spans="1:15" s="393" customFormat="1" ht="17.100000000000001" customHeight="1" x14ac:dyDescent="0.25">
      <c r="A175" s="352"/>
      <c r="B175" s="417"/>
      <c r="C175" s="418"/>
      <c r="D175" s="1138" t="s">
        <v>126</v>
      </c>
      <c r="E175" s="1138"/>
      <c r="F175" s="420"/>
      <c r="G175" s="420"/>
      <c r="H175" s="418"/>
    </row>
    <row r="176" spans="1:15" s="393" customFormat="1" ht="17.100000000000001" customHeight="1" x14ac:dyDescent="0.25">
      <c r="A176" s="1122" t="s">
        <v>2</v>
      </c>
      <c r="B176" s="1124" t="s">
        <v>270</v>
      </c>
      <c r="C176" s="249" t="s">
        <v>4</v>
      </c>
      <c r="D176" s="249" t="s">
        <v>5</v>
      </c>
      <c r="E176" s="249" t="s">
        <v>6</v>
      </c>
      <c r="F176" s="249" t="s">
        <v>7</v>
      </c>
      <c r="G176" s="249" t="s">
        <v>8</v>
      </c>
      <c r="H176" s="249" t="s">
        <v>9</v>
      </c>
    </row>
    <row r="177" spans="1:15" s="393" customFormat="1" ht="17.100000000000001" customHeight="1" x14ac:dyDescent="0.25">
      <c r="A177" s="1123"/>
      <c r="B177" s="1125"/>
      <c r="C177" s="2" t="s">
        <v>10</v>
      </c>
      <c r="D177" s="2" t="s">
        <v>78</v>
      </c>
      <c r="E177" s="2" t="s">
        <v>79</v>
      </c>
      <c r="F177" s="52" t="s">
        <v>80</v>
      </c>
      <c r="G177" s="52" t="s">
        <v>80</v>
      </c>
      <c r="H177" s="2" t="s">
        <v>13</v>
      </c>
    </row>
    <row r="178" spans="1:15" s="393" customFormat="1" ht="17.100000000000001" customHeight="1" x14ac:dyDescent="0.25">
      <c r="A178" s="166">
        <v>1</v>
      </c>
      <c r="B178" s="424" t="s">
        <v>281</v>
      </c>
      <c r="C178" s="166">
        <f>Distt.Major!C37</f>
        <v>8</v>
      </c>
      <c r="D178" s="166">
        <f>Distt.Major!D37</f>
        <v>82.98</v>
      </c>
      <c r="E178" s="166">
        <f>Distt.Major!E37</f>
        <v>27676</v>
      </c>
      <c r="F178" s="166">
        <f>Distt.Major!F37</f>
        <v>20756977</v>
      </c>
      <c r="G178" s="166">
        <f>Distt.Major!G37</f>
        <v>2523034</v>
      </c>
      <c r="H178" s="166">
        <f>Distt.Major!H37</f>
        <v>24</v>
      </c>
    </row>
    <row r="179" spans="1:15" s="393" customFormat="1" ht="17.100000000000001" customHeight="1" x14ac:dyDescent="0.25">
      <c r="A179" s="166">
        <v>2</v>
      </c>
      <c r="B179" s="424" t="s">
        <v>252</v>
      </c>
      <c r="C179" s="166">
        <f>Distt.Major!C91</f>
        <v>0</v>
      </c>
      <c r="D179" s="166">
        <f>Distt.Major!D91</f>
        <v>0</v>
      </c>
      <c r="E179" s="166">
        <f>Distt.Major!E91</f>
        <v>0</v>
      </c>
      <c r="F179" s="166">
        <f>Distt.Major!F91</f>
        <v>0</v>
      </c>
      <c r="G179" s="166">
        <f>Distt.Major!G91</f>
        <v>0</v>
      </c>
      <c r="H179" s="166">
        <f>Distt.Major!H91</f>
        <v>0</v>
      </c>
    </row>
    <row r="180" spans="1:15" s="393" customFormat="1" ht="17.100000000000001" customHeight="1" x14ac:dyDescent="0.25">
      <c r="A180" s="166">
        <v>3</v>
      </c>
      <c r="B180" s="212" t="s">
        <v>254</v>
      </c>
      <c r="C180" s="206">
        <f>Distt.Major!C99</f>
        <v>9</v>
      </c>
      <c r="D180" s="206">
        <f>Distt.Major!D99</f>
        <v>85.984999999999999</v>
      </c>
      <c r="E180" s="206">
        <f>Distt.Major!E99</f>
        <v>11608</v>
      </c>
      <c r="F180" s="206">
        <f>Distt.Major!F99</f>
        <v>8706000</v>
      </c>
      <c r="G180" s="206">
        <f>Distt.Major!G99</f>
        <v>1236852</v>
      </c>
      <c r="H180" s="206">
        <f>Distt.Major!H99</f>
        <v>50</v>
      </c>
    </row>
    <row r="181" spans="1:15" s="393" customFormat="1" ht="17.100000000000001" customHeight="1" x14ac:dyDescent="0.25">
      <c r="A181" s="1295" t="s">
        <v>50</v>
      </c>
      <c r="B181" s="1296"/>
      <c r="C181" s="259">
        <f t="shared" ref="C181:H181" si="42">SUM(C178:C180)</f>
        <v>17</v>
      </c>
      <c r="D181" s="260">
        <f t="shared" si="42"/>
        <v>168.965</v>
      </c>
      <c r="E181" s="261">
        <f t="shared" si="42"/>
        <v>39284</v>
      </c>
      <c r="F181" s="261">
        <f t="shared" si="42"/>
        <v>29462977</v>
      </c>
      <c r="G181" s="261">
        <f t="shared" si="42"/>
        <v>3759886</v>
      </c>
      <c r="H181" s="261">
        <f t="shared" si="42"/>
        <v>74</v>
      </c>
      <c r="J181" s="544">
        <f>'Major Minerals'!C188</f>
        <v>17</v>
      </c>
      <c r="K181" s="544">
        <f>'Major Minerals'!D188</f>
        <v>168.965</v>
      </c>
      <c r="L181" s="544">
        <f>'Major Minerals'!E188</f>
        <v>39284</v>
      </c>
      <c r="M181" s="544">
        <f>'Major Minerals'!F188</f>
        <v>29462977</v>
      </c>
      <c r="N181" s="544">
        <f>'Major Minerals'!G188</f>
        <v>3759886</v>
      </c>
      <c r="O181" s="544">
        <f>'Major Minerals'!H188</f>
        <v>74</v>
      </c>
    </row>
    <row r="182" spans="1:15" s="393" customFormat="1" ht="17.100000000000001" customHeight="1" x14ac:dyDescent="0.25">
      <c r="A182" s="344"/>
      <c r="B182" s="425"/>
      <c r="C182" s="418"/>
      <c r="D182" s="426"/>
      <c r="E182" s="427"/>
      <c r="F182" s="427"/>
      <c r="G182" s="427"/>
      <c r="H182" s="427"/>
      <c r="J182" s="394">
        <f>J181-C181</f>
        <v>0</v>
      </c>
      <c r="K182" s="394">
        <f t="shared" ref="K182:O182" si="43">K181-D181</f>
        <v>0</v>
      </c>
      <c r="L182" s="394">
        <f t="shared" si="43"/>
        <v>0</v>
      </c>
      <c r="M182" s="394">
        <f t="shared" si="43"/>
        <v>0</v>
      </c>
      <c r="N182" s="394">
        <f t="shared" si="43"/>
        <v>0</v>
      </c>
      <c r="O182" s="394">
        <f t="shared" si="43"/>
        <v>0</v>
      </c>
    </row>
    <row r="183" spans="1:15" s="393" customFormat="1" ht="17.100000000000001" customHeight="1" x14ac:dyDescent="0.25">
      <c r="A183" s="352"/>
      <c r="B183" s="417"/>
      <c r="C183" s="418"/>
      <c r="D183" s="1138" t="s">
        <v>47</v>
      </c>
      <c r="E183" s="1138"/>
      <c r="F183" s="420"/>
      <c r="G183" s="420"/>
      <c r="H183" s="418"/>
    </row>
    <row r="184" spans="1:15" s="393" customFormat="1" ht="17.100000000000001" customHeight="1" x14ac:dyDescent="0.25">
      <c r="A184" s="1122" t="s">
        <v>2</v>
      </c>
      <c r="B184" s="1124" t="s">
        <v>270</v>
      </c>
      <c r="C184" s="249" t="s">
        <v>4</v>
      </c>
      <c r="D184" s="249" t="s">
        <v>5</v>
      </c>
      <c r="E184" s="249" t="s">
        <v>6</v>
      </c>
      <c r="F184" s="249" t="s">
        <v>7</v>
      </c>
      <c r="G184" s="249" t="s">
        <v>8</v>
      </c>
      <c r="H184" s="249" t="s">
        <v>9</v>
      </c>
    </row>
    <row r="185" spans="1:15" s="393" customFormat="1" ht="17.100000000000001" customHeight="1" x14ac:dyDescent="0.25">
      <c r="A185" s="1299"/>
      <c r="B185" s="1156"/>
      <c r="C185" s="235" t="s">
        <v>10</v>
      </c>
      <c r="D185" s="235" t="s">
        <v>78</v>
      </c>
      <c r="E185" s="235" t="s">
        <v>79</v>
      </c>
      <c r="F185" s="56" t="s">
        <v>80</v>
      </c>
      <c r="G185" s="56" t="s">
        <v>80</v>
      </c>
      <c r="H185" s="235" t="s">
        <v>13</v>
      </c>
    </row>
    <row r="186" spans="1:15" s="393" customFormat="1" ht="17.100000000000001" customHeight="1" x14ac:dyDescent="0.25">
      <c r="A186" s="688">
        <v>1</v>
      </c>
      <c r="B186" s="706" t="s">
        <v>473</v>
      </c>
      <c r="C186" s="687">
        <f>Distt.Major!C76</f>
        <v>1</v>
      </c>
      <c r="D186" s="687">
        <f>Distt.Major!D76</f>
        <v>5</v>
      </c>
      <c r="E186" s="687">
        <f>Distt.Major!E76</f>
        <v>0</v>
      </c>
      <c r="F186" s="687">
        <f>Distt.Major!F76</f>
        <v>0</v>
      </c>
      <c r="G186" s="687">
        <f>Distt.Major!G76</f>
        <v>0</v>
      </c>
      <c r="H186" s="687">
        <f>Distt.Major!H76</f>
        <v>0</v>
      </c>
    </row>
    <row r="187" spans="1:15" s="393" customFormat="1" ht="17.100000000000001" customHeight="1" x14ac:dyDescent="0.25">
      <c r="A187" s="307">
        <v>2</v>
      </c>
      <c r="B187" s="212" t="s">
        <v>240</v>
      </c>
      <c r="C187" s="206">
        <f>Distt.Major!C14</f>
        <v>1</v>
      </c>
      <c r="D187" s="206">
        <f>Distt.Major!D14</f>
        <v>4.3099999999999996</v>
      </c>
      <c r="E187" s="206">
        <f>Distt.Major!E14</f>
        <v>0</v>
      </c>
      <c r="F187" s="206">
        <f>Distt.Major!F14</f>
        <v>0</v>
      </c>
      <c r="G187" s="206">
        <f>Distt.Major!G14</f>
        <v>67620</v>
      </c>
      <c r="H187" s="206">
        <f>Distt.Major!H14</f>
        <v>0</v>
      </c>
    </row>
    <row r="188" spans="1:15" s="393" customFormat="1" ht="17.100000000000001" customHeight="1" x14ac:dyDescent="0.25">
      <c r="A188" s="1136" t="s">
        <v>50</v>
      </c>
      <c r="B188" s="1137"/>
      <c r="C188" s="259">
        <f>SUM(C186:C187)</f>
        <v>2</v>
      </c>
      <c r="D188" s="259">
        <f t="shared" ref="D188:H188" si="44">SUM(D186:D187)</f>
        <v>9.3099999999999987</v>
      </c>
      <c r="E188" s="259">
        <f t="shared" si="44"/>
        <v>0</v>
      </c>
      <c r="F188" s="259">
        <f t="shared" si="44"/>
        <v>0</v>
      </c>
      <c r="G188" s="259">
        <f t="shared" si="44"/>
        <v>67620</v>
      </c>
      <c r="H188" s="259">
        <f t="shared" si="44"/>
        <v>0</v>
      </c>
      <c r="J188" s="545">
        <f>'Major Minerals'!C197</f>
        <v>2</v>
      </c>
      <c r="K188" s="545">
        <f>'Major Minerals'!D197</f>
        <v>9.3099999999999987</v>
      </c>
      <c r="L188" s="545">
        <f>'Major Minerals'!E197</f>
        <v>0</v>
      </c>
      <c r="M188" s="545">
        <f>'Major Minerals'!F197</f>
        <v>0</v>
      </c>
      <c r="N188" s="545">
        <f>'Major Minerals'!G197</f>
        <v>67620</v>
      </c>
      <c r="O188" s="545">
        <f>'Major Minerals'!H197</f>
        <v>0</v>
      </c>
    </row>
    <row r="189" spans="1:15" s="393" customFormat="1" ht="17.100000000000001" customHeight="1" x14ac:dyDescent="0.25">
      <c r="J189" s="393">
        <f>J188-C188</f>
        <v>0</v>
      </c>
      <c r="K189" s="393">
        <f>K188-D188</f>
        <v>0</v>
      </c>
      <c r="L189" s="393">
        <f t="shared" ref="L189:O189" si="45">L188-E188</f>
        <v>0</v>
      </c>
      <c r="M189" s="393">
        <f t="shared" si="45"/>
        <v>0</v>
      </c>
      <c r="N189" s="393">
        <f t="shared" si="45"/>
        <v>0</v>
      </c>
      <c r="O189" s="393">
        <f t="shared" si="45"/>
        <v>0</v>
      </c>
    </row>
    <row r="190" spans="1:15" s="393" customFormat="1" ht="17.100000000000001" customHeight="1" x14ac:dyDescent="0.25">
      <c r="A190" s="352"/>
      <c r="B190" s="417"/>
      <c r="C190" s="418"/>
      <c r="D190" s="1138" t="s">
        <v>48</v>
      </c>
      <c r="E190" s="1138"/>
      <c r="F190" s="420"/>
      <c r="G190" s="420"/>
      <c r="H190" s="418"/>
    </row>
    <row r="191" spans="1:15" s="393" customFormat="1" ht="17.100000000000001" customHeight="1" x14ac:dyDescent="0.25">
      <c r="A191" s="1122" t="s">
        <v>2</v>
      </c>
      <c r="B191" s="1124" t="s">
        <v>270</v>
      </c>
      <c r="C191" s="249" t="s">
        <v>4</v>
      </c>
      <c r="D191" s="249" t="s">
        <v>5</v>
      </c>
      <c r="E191" s="249" t="s">
        <v>6</v>
      </c>
      <c r="F191" s="249" t="s">
        <v>7</v>
      </c>
      <c r="G191" s="249" t="s">
        <v>8</v>
      </c>
      <c r="H191" s="249" t="s">
        <v>9</v>
      </c>
    </row>
    <row r="192" spans="1:15" s="393" customFormat="1" ht="17.100000000000001" customHeight="1" x14ac:dyDescent="0.25">
      <c r="A192" s="1123"/>
      <c r="B192" s="1125"/>
      <c r="C192" s="2" t="s">
        <v>10</v>
      </c>
      <c r="D192" s="2" t="s">
        <v>78</v>
      </c>
      <c r="E192" s="2" t="s">
        <v>79</v>
      </c>
      <c r="F192" s="52" t="s">
        <v>80</v>
      </c>
      <c r="G192" s="52" t="s">
        <v>80</v>
      </c>
      <c r="H192" s="2" t="s">
        <v>13</v>
      </c>
    </row>
    <row r="193" spans="1:15" s="393" customFormat="1" ht="17.100000000000001" customHeight="1" x14ac:dyDescent="0.25">
      <c r="A193" s="166">
        <v>1</v>
      </c>
      <c r="B193" s="214" t="s">
        <v>240</v>
      </c>
      <c r="C193" s="144">
        <f>Distt.Major!C8</f>
        <v>9</v>
      </c>
      <c r="D193" s="144">
        <f>Distt.Major!D8</f>
        <v>87.3</v>
      </c>
      <c r="E193" s="144">
        <f>Distt.Major!E8</f>
        <v>11240</v>
      </c>
      <c r="F193" s="144">
        <f>Distt.Major!F8</f>
        <v>20232000</v>
      </c>
      <c r="G193" s="144">
        <f>Distt.Major!G8</f>
        <v>1506280</v>
      </c>
      <c r="H193" s="144">
        <f>Distt.Major!H8</f>
        <v>6</v>
      </c>
    </row>
    <row r="194" spans="1:15" s="393" customFormat="1" ht="17.100000000000001" customHeight="1" x14ac:dyDescent="0.25">
      <c r="A194" s="166">
        <v>2</v>
      </c>
      <c r="B194" s="214" t="s">
        <v>260</v>
      </c>
      <c r="C194" s="137">
        <f>Distt.Major!C141</f>
        <v>1</v>
      </c>
      <c r="D194" s="137">
        <f>Distt.Major!D141</f>
        <v>4</v>
      </c>
      <c r="E194" s="137">
        <f>Distt.Major!E141</f>
        <v>0</v>
      </c>
      <c r="F194" s="137">
        <f>Distt.Major!F141</f>
        <v>0</v>
      </c>
      <c r="G194" s="137">
        <f>Distt.Major!G141</f>
        <v>0</v>
      </c>
      <c r="H194" s="137">
        <f>Distt.Major!H141</f>
        <v>0</v>
      </c>
    </row>
    <row r="195" spans="1:15" s="393" customFormat="1" ht="17.100000000000001" customHeight="1" x14ac:dyDescent="0.25">
      <c r="A195" s="166">
        <v>3</v>
      </c>
      <c r="B195" s="214" t="s">
        <v>265</v>
      </c>
      <c r="C195" s="204">
        <f>Distt.Major!C167</f>
        <v>1</v>
      </c>
      <c r="D195" s="204">
        <f>Distt.Major!D167</f>
        <v>49.48</v>
      </c>
      <c r="E195" s="204">
        <f>Distt.Major!E167</f>
        <v>93284</v>
      </c>
      <c r="F195" s="204">
        <f>Distt.Major!F167</f>
        <v>128824941</v>
      </c>
      <c r="G195" s="204">
        <f>Distt.Major!G167</f>
        <v>8900000</v>
      </c>
      <c r="H195" s="204">
        <f>Distt.Major!H167</f>
        <v>10</v>
      </c>
    </row>
    <row r="196" spans="1:15" s="393" customFormat="1" ht="17.100000000000001" customHeight="1" x14ac:dyDescent="0.25">
      <c r="A196" s="166">
        <v>4</v>
      </c>
      <c r="B196" s="214" t="s">
        <v>267</v>
      </c>
      <c r="C196" s="166">
        <f>Distt.Major!C188</f>
        <v>1</v>
      </c>
      <c r="D196" s="166">
        <f>Distt.Major!D188</f>
        <v>112.5</v>
      </c>
      <c r="E196" s="166">
        <f>Distt.Major!E188</f>
        <v>0</v>
      </c>
      <c r="F196" s="166">
        <f>Distt.Major!F188</f>
        <v>0</v>
      </c>
      <c r="G196" s="166">
        <f>Distt.Major!G188</f>
        <v>0</v>
      </c>
      <c r="H196" s="166">
        <f>Distt.Major!H188</f>
        <v>0</v>
      </c>
    </row>
    <row r="197" spans="1:15" s="393" customFormat="1" ht="17.100000000000001" customHeight="1" x14ac:dyDescent="0.25">
      <c r="A197" s="1136" t="s">
        <v>50</v>
      </c>
      <c r="B197" s="1137"/>
      <c r="C197" s="259">
        <f>SUM(C193:C196)</f>
        <v>12</v>
      </c>
      <c r="D197" s="260">
        <f t="shared" ref="D197:H197" si="46">SUM(D193:D196)</f>
        <v>253.28</v>
      </c>
      <c r="E197" s="261">
        <f t="shared" si="46"/>
        <v>104524</v>
      </c>
      <c r="F197" s="261">
        <f t="shared" si="46"/>
        <v>149056941</v>
      </c>
      <c r="G197" s="261">
        <f t="shared" si="46"/>
        <v>10406280</v>
      </c>
      <c r="H197" s="259">
        <f t="shared" si="46"/>
        <v>16</v>
      </c>
      <c r="J197" s="544">
        <f>'Major Minerals'!C208</f>
        <v>12</v>
      </c>
      <c r="K197" s="544">
        <f>'Major Minerals'!D208</f>
        <v>253.27999999999997</v>
      </c>
      <c r="L197" s="544">
        <f>'Major Minerals'!E208</f>
        <v>104524</v>
      </c>
      <c r="M197" s="544">
        <f>'Major Minerals'!F208</f>
        <v>149056941</v>
      </c>
      <c r="N197" s="544">
        <f>'Major Minerals'!G208</f>
        <v>10406280</v>
      </c>
      <c r="O197" s="544">
        <f>'Major Minerals'!H208</f>
        <v>16</v>
      </c>
    </row>
    <row r="198" spans="1:15" x14ac:dyDescent="0.25">
      <c r="J198" s="128">
        <f>C197-J197</f>
        <v>0</v>
      </c>
      <c r="K198" s="128">
        <f t="shared" ref="K198:N198" si="47">D197-K197</f>
        <v>0</v>
      </c>
      <c r="L198" s="128">
        <f t="shared" si="47"/>
        <v>0</v>
      </c>
      <c r="M198" s="128">
        <f t="shared" si="47"/>
        <v>0</v>
      </c>
      <c r="N198" s="128">
        <f t="shared" si="47"/>
        <v>0</v>
      </c>
      <c r="O198" s="128">
        <f>H197-O197</f>
        <v>0</v>
      </c>
    </row>
    <row r="199" spans="1:15" x14ac:dyDescent="0.25">
      <c r="J199" s="128"/>
      <c r="K199" s="128"/>
      <c r="L199" s="128"/>
      <c r="M199" s="128"/>
      <c r="N199" s="128"/>
      <c r="O199" s="128"/>
    </row>
    <row r="200" spans="1:15" ht="18.75" x14ac:dyDescent="0.25">
      <c r="A200" s="1138" t="s">
        <v>458</v>
      </c>
      <c r="B200" s="1138"/>
      <c r="C200" s="1138"/>
      <c r="D200" s="1138"/>
      <c r="E200" s="1138"/>
      <c r="F200" s="1138"/>
      <c r="G200" s="1138"/>
      <c r="H200" s="1138"/>
      <c r="J200" s="128"/>
      <c r="K200" s="128"/>
      <c r="L200" s="128"/>
      <c r="M200" s="128"/>
      <c r="N200" s="128"/>
      <c r="O200" s="128"/>
    </row>
    <row r="201" spans="1:15" x14ac:dyDescent="0.25">
      <c r="A201" s="1122" t="s">
        <v>2</v>
      </c>
      <c r="B201" s="1124" t="s">
        <v>270</v>
      </c>
      <c r="C201" s="249" t="s">
        <v>4</v>
      </c>
      <c r="D201" s="249" t="s">
        <v>5</v>
      </c>
      <c r="E201" s="249" t="s">
        <v>6</v>
      </c>
      <c r="F201" s="249" t="s">
        <v>7</v>
      </c>
      <c r="G201" s="249" t="s">
        <v>8</v>
      </c>
      <c r="H201" s="249" t="s">
        <v>9</v>
      </c>
      <c r="J201" s="128"/>
      <c r="K201" s="128"/>
      <c r="L201" s="128"/>
      <c r="M201" s="128"/>
      <c r="N201" s="128"/>
      <c r="O201" s="128"/>
    </row>
    <row r="202" spans="1:15" x14ac:dyDescent="0.25">
      <c r="A202" s="1123"/>
      <c r="B202" s="1125"/>
      <c r="C202" s="2" t="s">
        <v>10</v>
      </c>
      <c r="D202" s="2" t="s">
        <v>78</v>
      </c>
      <c r="E202" s="2" t="s">
        <v>79</v>
      </c>
      <c r="F202" s="52" t="s">
        <v>80</v>
      </c>
      <c r="G202" s="52" t="s">
        <v>80</v>
      </c>
      <c r="H202" s="2" t="s">
        <v>13</v>
      </c>
      <c r="J202" s="128"/>
      <c r="K202" s="128"/>
      <c r="L202" s="128"/>
      <c r="M202" s="128"/>
      <c r="N202" s="128"/>
      <c r="O202" s="128"/>
    </row>
    <row r="203" spans="1:15" x14ac:dyDescent="0.25">
      <c r="A203" s="166">
        <v>1</v>
      </c>
      <c r="B203" s="424" t="s">
        <v>240</v>
      </c>
      <c r="C203" s="166">
        <v>0</v>
      </c>
      <c r="D203" s="166">
        <v>0</v>
      </c>
      <c r="E203" s="166">
        <v>0</v>
      </c>
      <c r="F203" s="166">
        <v>0</v>
      </c>
      <c r="G203" s="166">
        <f>Distt.Major!G16</f>
        <v>0</v>
      </c>
      <c r="H203" s="166">
        <v>0</v>
      </c>
      <c r="J203" s="128"/>
      <c r="K203" s="128"/>
      <c r="L203" s="128"/>
      <c r="M203" s="128"/>
      <c r="N203" s="128"/>
      <c r="O203" s="128"/>
    </row>
    <row r="204" spans="1:15" x14ac:dyDescent="0.25">
      <c r="A204" s="166">
        <v>2</v>
      </c>
      <c r="B204" s="424" t="s">
        <v>249</v>
      </c>
      <c r="C204" s="166"/>
      <c r="D204" s="166"/>
      <c r="E204" s="166"/>
      <c r="F204" s="166"/>
      <c r="G204" s="166">
        <f>Distt.Major!G77</f>
        <v>0</v>
      </c>
      <c r="H204" s="166"/>
      <c r="J204" s="128"/>
      <c r="K204" s="128"/>
      <c r="L204" s="128"/>
      <c r="M204" s="128"/>
      <c r="N204" s="128"/>
      <c r="O204" s="128"/>
    </row>
    <row r="205" spans="1:15" x14ac:dyDescent="0.25">
      <c r="A205" s="166">
        <v>3</v>
      </c>
      <c r="B205" s="19" t="s">
        <v>252</v>
      </c>
      <c r="C205" s="206">
        <f>Distt.Major!C92</f>
        <v>0</v>
      </c>
      <c r="D205" s="206">
        <f>Distt.Major!D92</f>
        <v>0</v>
      </c>
      <c r="E205" s="206">
        <f>Distt.Major!E92</f>
        <v>0</v>
      </c>
      <c r="F205" s="206">
        <f>Distt.Major!F92</f>
        <v>0</v>
      </c>
      <c r="G205" s="206">
        <f>Distt.Major!G92</f>
        <v>0</v>
      </c>
      <c r="H205" s="206">
        <f>Distt.Major!H92</f>
        <v>0</v>
      </c>
      <c r="J205" s="128"/>
      <c r="K205" s="128"/>
      <c r="L205" s="128"/>
      <c r="M205" s="128"/>
      <c r="N205" s="128"/>
      <c r="O205" s="128"/>
    </row>
    <row r="206" spans="1:15" x14ac:dyDescent="0.25">
      <c r="A206" s="1136" t="s">
        <v>50</v>
      </c>
      <c r="B206" s="1137"/>
      <c r="C206" s="259">
        <f t="shared" ref="C206:H206" si="48">SUM(C203:C205)</f>
        <v>0</v>
      </c>
      <c r="D206" s="260">
        <f t="shared" si="48"/>
        <v>0</v>
      </c>
      <c r="E206" s="261">
        <f t="shared" si="48"/>
        <v>0</v>
      </c>
      <c r="F206" s="261">
        <f t="shared" si="48"/>
        <v>0</v>
      </c>
      <c r="G206" s="261">
        <f t="shared" si="48"/>
        <v>0</v>
      </c>
      <c r="H206" s="259">
        <f t="shared" si="48"/>
        <v>0</v>
      </c>
      <c r="J206" s="645">
        <f>'Major Minerals'!C215</f>
        <v>0</v>
      </c>
      <c r="K206" s="645">
        <f>'Major Minerals'!D215</f>
        <v>0</v>
      </c>
      <c r="L206" s="645">
        <f>'Major Minerals'!E215</f>
        <v>0</v>
      </c>
      <c r="M206" s="645">
        <f>'Major Minerals'!F215</f>
        <v>0</v>
      </c>
      <c r="N206" s="645">
        <f>'Major Minerals'!G215</f>
        <v>0</v>
      </c>
      <c r="O206" s="645">
        <f>'Major Minerals'!H215</f>
        <v>0</v>
      </c>
    </row>
    <row r="207" spans="1:15" x14ac:dyDescent="0.25">
      <c r="J207" s="128">
        <f>C206-J206</f>
        <v>0</v>
      </c>
      <c r="K207" s="128">
        <f t="shared" ref="K207:O207" si="49">D206-K206</f>
        <v>0</v>
      </c>
      <c r="L207" s="128">
        <f t="shared" si="49"/>
        <v>0</v>
      </c>
      <c r="M207" s="128">
        <f t="shared" si="49"/>
        <v>0</v>
      </c>
      <c r="N207" s="128">
        <f t="shared" si="49"/>
        <v>0</v>
      </c>
      <c r="O207" s="128">
        <f t="shared" si="49"/>
        <v>0</v>
      </c>
    </row>
    <row r="209" spans="1:8" x14ac:dyDescent="0.25">
      <c r="B209" s="136"/>
      <c r="C209" s="21"/>
      <c r="D209" s="23"/>
      <c r="E209" s="24"/>
      <c r="F209" s="25"/>
      <c r="G209" s="25"/>
      <c r="H209" s="23"/>
    </row>
    <row r="210" spans="1:8" ht="34.5" x14ac:dyDescent="0.25">
      <c r="A210" s="1294" t="s">
        <v>0</v>
      </c>
      <c r="B210" s="1115"/>
      <c r="C210" s="1115"/>
      <c r="D210" s="1115"/>
      <c r="E210" s="1115"/>
      <c r="F210" s="1115"/>
      <c r="G210" s="1115"/>
      <c r="H210" s="1115"/>
    </row>
    <row r="211" spans="1:8" ht="25.5" x14ac:dyDescent="0.35">
      <c r="A211" s="1297" t="s">
        <v>129</v>
      </c>
      <c r="B211" s="1298"/>
      <c r="C211" s="1298"/>
      <c r="D211" s="1298"/>
      <c r="E211" s="1298"/>
      <c r="F211" s="1298"/>
      <c r="G211" s="1298"/>
      <c r="H211" s="1298"/>
    </row>
    <row r="212" spans="1:8" ht="22.5" x14ac:dyDescent="0.25">
      <c r="A212" s="1292" t="str">
        <f>A3</f>
        <v>Financial Year 2023-24</v>
      </c>
      <c r="B212" s="1293"/>
      <c r="C212" s="1293"/>
      <c r="D212" s="1293"/>
      <c r="E212" s="1293"/>
      <c r="F212" s="1293"/>
      <c r="G212" s="1293"/>
      <c r="H212" s="1293"/>
    </row>
    <row r="213" spans="1:8" ht="15.75" x14ac:dyDescent="0.25">
      <c r="B213" s="138"/>
      <c r="C213" s="26"/>
      <c r="D213" s="65"/>
      <c r="E213" s="27"/>
      <c r="F213" s="139"/>
      <c r="G213" s="127"/>
      <c r="H213" s="127"/>
    </row>
    <row r="214" spans="1:8" s="393" customFormat="1" ht="17.100000000000001" customHeight="1" x14ac:dyDescent="0.25">
      <c r="A214" s="1127" t="s">
        <v>2</v>
      </c>
      <c r="B214" s="1124" t="s">
        <v>382</v>
      </c>
      <c r="C214" s="131" t="s">
        <v>4</v>
      </c>
      <c r="D214" s="131" t="s">
        <v>5</v>
      </c>
      <c r="E214" s="131" t="s">
        <v>6</v>
      </c>
      <c r="F214" s="131" t="s">
        <v>7</v>
      </c>
      <c r="G214" s="131" t="s">
        <v>8</v>
      </c>
      <c r="H214" s="131" t="s">
        <v>9</v>
      </c>
    </row>
    <row r="215" spans="1:8" s="393" customFormat="1" ht="17.100000000000001" customHeight="1" x14ac:dyDescent="0.25">
      <c r="A215" s="1128"/>
      <c r="B215" s="1125"/>
      <c r="C215" s="165" t="s">
        <v>10</v>
      </c>
      <c r="D215" s="165" t="s">
        <v>78</v>
      </c>
      <c r="E215" s="165" t="s">
        <v>79</v>
      </c>
      <c r="F215" s="537" t="s">
        <v>80</v>
      </c>
      <c r="G215" s="537" t="s">
        <v>80</v>
      </c>
      <c r="H215" s="165" t="s">
        <v>13</v>
      </c>
    </row>
    <row r="216" spans="1:8" s="393" customFormat="1" ht="17.100000000000001" customHeight="1" x14ac:dyDescent="0.25">
      <c r="A216" s="210">
        <v>1</v>
      </c>
      <c r="B216" s="677" t="s">
        <v>465</v>
      </c>
      <c r="C216" s="186">
        <f t="shared" ref="C216:H216" si="50">C10</f>
        <v>0</v>
      </c>
      <c r="D216" s="186">
        <f t="shared" si="50"/>
        <v>0</v>
      </c>
      <c r="E216" s="186">
        <f t="shared" si="50"/>
        <v>0</v>
      </c>
      <c r="F216" s="186">
        <f t="shared" si="50"/>
        <v>0</v>
      </c>
      <c r="G216" s="186">
        <f t="shared" si="50"/>
        <v>0</v>
      </c>
      <c r="H216" s="186">
        <f t="shared" si="50"/>
        <v>0</v>
      </c>
    </row>
    <row r="217" spans="1:8" s="393" customFormat="1" ht="17.100000000000001" customHeight="1" x14ac:dyDescent="0.25">
      <c r="A217" s="538">
        <v>2</v>
      </c>
      <c r="B217" s="539" t="s">
        <v>396</v>
      </c>
      <c r="C217" s="540">
        <f t="shared" ref="C217:H217" si="51">C36</f>
        <v>1</v>
      </c>
      <c r="D217" s="540">
        <f t="shared" si="51"/>
        <v>123.2</v>
      </c>
      <c r="E217" s="540">
        <f t="shared" si="51"/>
        <v>0</v>
      </c>
      <c r="F217" s="540">
        <f t="shared" si="51"/>
        <v>0</v>
      </c>
      <c r="G217" s="540">
        <f t="shared" si="51"/>
        <v>251400</v>
      </c>
      <c r="H217" s="540">
        <f t="shared" si="51"/>
        <v>0</v>
      </c>
    </row>
    <row r="218" spans="1:8" s="393" customFormat="1" ht="17.100000000000001" customHeight="1" x14ac:dyDescent="0.25">
      <c r="A218" s="210">
        <v>3</v>
      </c>
      <c r="B218" s="180" t="s">
        <v>462</v>
      </c>
      <c r="C218" s="540">
        <f t="shared" ref="C218:H218" si="52">C17</f>
        <v>2</v>
      </c>
      <c r="D218" s="540">
        <f t="shared" si="52"/>
        <v>9.8000000000000007</v>
      </c>
      <c r="E218" s="540">
        <f t="shared" si="52"/>
        <v>0</v>
      </c>
      <c r="F218" s="540">
        <f t="shared" si="52"/>
        <v>0</v>
      </c>
      <c r="G218" s="540">
        <f t="shared" si="52"/>
        <v>0</v>
      </c>
      <c r="H218" s="540">
        <f t="shared" si="52"/>
        <v>0</v>
      </c>
    </row>
    <row r="219" spans="1:8" s="393" customFormat="1" ht="17.100000000000001" customHeight="1" x14ac:dyDescent="0.25">
      <c r="A219" s="538">
        <v>4</v>
      </c>
      <c r="B219" s="180" t="s">
        <v>466</v>
      </c>
      <c r="C219" s="540">
        <f t="shared" ref="C219:H219" si="53">C23</f>
        <v>1</v>
      </c>
      <c r="D219" s="540">
        <f t="shared" si="53"/>
        <v>4.05</v>
      </c>
      <c r="E219" s="540">
        <f t="shared" si="53"/>
        <v>0</v>
      </c>
      <c r="F219" s="540">
        <f t="shared" si="53"/>
        <v>0</v>
      </c>
      <c r="G219" s="540">
        <f t="shared" si="53"/>
        <v>4052</v>
      </c>
      <c r="H219" s="540">
        <f t="shared" si="53"/>
        <v>0</v>
      </c>
    </row>
    <row r="220" spans="1:8" s="393" customFormat="1" ht="17.100000000000001" customHeight="1" x14ac:dyDescent="0.25">
      <c r="A220" s="210">
        <v>5</v>
      </c>
      <c r="B220" s="180" t="s">
        <v>464</v>
      </c>
      <c r="C220" s="540">
        <f t="shared" ref="C220:H220" si="54">C29</f>
        <v>1</v>
      </c>
      <c r="D220" s="540">
        <f t="shared" si="54"/>
        <v>46.32</v>
      </c>
      <c r="E220" s="540">
        <f t="shared" si="54"/>
        <v>0</v>
      </c>
      <c r="F220" s="540">
        <f t="shared" si="54"/>
        <v>0</v>
      </c>
      <c r="G220" s="540">
        <f t="shared" si="54"/>
        <v>370560</v>
      </c>
      <c r="H220" s="540">
        <f t="shared" si="54"/>
        <v>0</v>
      </c>
    </row>
    <row r="221" spans="1:8" s="393" customFormat="1" ht="17.100000000000001" customHeight="1" x14ac:dyDescent="0.25">
      <c r="A221" s="538">
        <v>6</v>
      </c>
      <c r="B221" s="180" t="s">
        <v>15</v>
      </c>
      <c r="C221" s="181">
        <f t="shared" ref="C221:H221" si="55">C44</f>
        <v>0</v>
      </c>
      <c r="D221" s="541">
        <f t="shared" si="55"/>
        <v>0</v>
      </c>
      <c r="E221" s="542">
        <f t="shared" si="55"/>
        <v>0</v>
      </c>
      <c r="F221" s="175">
        <f t="shared" si="55"/>
        <v>0</v>
      </c>
      <c r="G221" s="175">
        <f t="shared" si="55"/>
        <v>0</v>
      </c>
      <c r="H221" s="181">
        <f t="shared" si="55"/>
        <v>0</v>
      </c>
    </row>
    <row r="222" spans="1:8" s="393" customFormat="1" ht="17.100000000000001" customHeight="1" x14ac:dyDescent="0.25">
      <c r="A222" s="210">
        <v>7</v>
      </c>
      <c r="B222" s="267" t="s">
        <v>16</v>
      </c>
      <c r="C222" s="181">
        <f t="shared" ref="C222:H222" si="56">C51</f>
        <v>4</v>
      </c>
      <c r="D222" s="541">
        <f t="shared" si="56"/>
        <v>769.75</v>
      </c>
      <c r="E222" s="175">
        <f t="shared" si="56"/>
        <v>870932</v>
      </c>
      <c r="F222" s="175">
        <f t="shared" si="56"/>
        <v>2474283222</v>
      </c>
      <c r="G222" s="175">
        <f t="shared" si="56"/>
        <v>470256000</v>
      </c>
      <c r="H222" s="181">
        <f t="shared" si="56"/>
        <v>1760</v>
      </c>
    </row>
    <row r="223" spans="1:8" s="393" customFormat="1" ht="17.100000000000001" customHeight="1" x14ac:dyDescent="0.25">
      <c r="A223" s="538">
        <v>8</v>
      </c>
      <c r="B223" s="180" t="s">
        <v>17</v>
      </c>
      <c r="C223" s="181">
        <f t="shared" ref="C223:H223" si="57">C61</f>
        <v>15</v>
      </c>
      <c r="D223" s="541">
        <f t="shared" si="57"/>
        <v>2448.625</v>
      </c>
      <c r="E223" s="175">
        <f t="shared" si="57"/>
        <v>3652137.4</v>
      </c>
      <c r="F223" s="175">
        <f t="shared" si="57"/>
        <v>17089097443</v>
      </c>
      <c r="G223" s="181">
        <f t="shared" si="57"/>
        <v>1048114545</v>
      </c>
      <c r="H223" s="181">
        <f t="shared" si="57"/>
        <v>1203</v>
      </c>
    </row>
    <row r="224" spans="1:8" s="393" customFormat="1" ht="17.100000000000001" customHeight="1" x14ac:dyDescent="0.25">
      <c r="A224" s="210">
        <v>9</v>
      </c>
      <c r="B224" s="267" t="s">
        <v>381</v>
      </c>
      <c r="C224" s="181">
        <f t="shared" ref="C224:H224" si="58">C71</f>
        <v>2</v>
      </c>
      <c r="D224" s="541">
        <f t="shared" si="58"/>
        <v>1680.45</v>
      </c>
      <c r="E224" s="175">
        <f t="shared" si="58"/>
        <v>1771592</v>
      </c>
      <c r="F224" s="175">
        <f t="shared" si="58"/>
        <v>33176144822</v>
      </c>
      <c r="G224" s="181">
        <f t="shared" si="58"/>
        <v>13166494833</v>
      </c>
      <c r="H224" s="181">
        <f t="shared" si="58"/>
        <v>4056</v>
      </c>
    </row>
    <row r="225" spans="1:8" s="393" customFormat="1" ht="17.100000000000001" customHeight="1" x14ac:dyDescent="0.25">
      <c r="A225" s="538">
        <v>10</v>
      </c>
      <c r="B225" s="267" t="s">
        <v>412</v>
      </c>
      <c r="C225" s="181">
        <f t="shared" ref="C225:H225" si="59">C79</f>
        <v>3</v>
      </c>
      <c r="D225" s="181">
        <f t="shared" si="59"/>
        <v>1725.8225</v>
      </c>
      <c r="E225" s="181">
        <f t="shared" si="59"/>
        <v>310190</v>
      </c>
      <c r="F225" s="181">
        <f t="shared" si="59"/>
        <v>6669085000</v>
      </c>
      <c r="G225" s="181">
        <f t="shared" si="59"/>
        <v>1796337244</v>
      </c>
      <c r="H225" s="181">
        <f t="shared" si="59"/>
        <v>22810</v>
      </c>
    </row>
    <row r="226" spans="1:8" s="393" customFormat="1" ht="17.100000000000001" customHeight="1" x14ac:dyDescent="0.25">
      <c r="A226" s="210">
        <v>11</v>
      </c>
      <c r="B226" s="267" t="s">
        <v>411</v>
      </c>
      <c r="C226" s="181">
        <f>C86</f>
        <v>1</v>
      </c>
      <c r="D226" s="181">
        <f t="shared" ref="D226:H226" si="60">D86</f>
        <v>3620</v>
      </c>
      <c r="E226" s="181">
        <f t="shared" si="60"/>
        <v>1042284</v>
      </c>
      <c r="F226" s="181">
        <f t="shared" si="60"/>
        <v>16676544000</v>
      </c>
      <c r="G226" s="181">
        <f t="shared" si="60"/>
        <v>8769354509</v>
      </c>
      <c r="H226" s="181">
        <f t="shared" si="60"/>
        <v>2170</v>
      </c>
    </row>
    <row r="227" spans="1:8" s="393" customFormat="1" ht="17.100000000000001" customHeight="1" x14ac:dyDescent="0.25">
      <c r="A227" s="538">
        <v>12</v>
      </c>
      <c r="B227" s="180" t="s">
        <v>20</v>
      </c>
      <c r="C227" s="181">
        <f t="shared" ref="C227:H227" si="61">C100</f>
        <v>0</v>
      </c>
      <c r="D227" s="541">
        <f t="shared" si="61"/>
        <v>0</v>
      </c>
      <c r="E227" s="175">
        <f t="shared" si="61"/>
        <v>617.2349999999999</v>
      </c>
      <c r="F227" s="175">
        <f t="shared" si="61"/>
        <v>43206449999.999992</v>
      </c>
      <c r="G227" s="181">
        <f t="shared" si="61"/>
        <v>2701351200</v>
      </c>
      <c r="H227" s="181">
        <f t="shared" si="61"/>
        <v>0</v>
      </c>
    </row>
    <row r="228" spans="1:8" s="393" customFormat="1" ht="17.100000000000001" customHeight="1" x14ac:dyDescent="0.25">
      <c r="A228" s="210">
        <v>13</v>
      </c>
      <c r="B228" s="267" t="s">
        <v>21</v>
      </c>
      <c r="C228" s="181">
        <f t="shared" ref="C228:H228" si="62">C92</f>
        <v>1</v>
      </c>
      <c r="D228" s="541">
        <f t="shared" si="62"/>
        <v>18.898</v>
      </c>
      <c r="E228" s="175">
        <f t="shared" si="62"/>
        <v>997.58</v>
      </c>
      <c r="F228" s="175">
        <f t="shared" si="62"/>
        <v>3491530</v>
      </c>
      <c r="G228" s="175">
        <f t="shared" si="62"/>
        <v>276000</v>
      </c>
      <c r="H228" s="181">
        <f t="shared" si="62"/>
        <v>20</v>
      </c>
    </row>
    <row r="229" spans="1:8" s="393" customFormat="1" ht="17.100000000000001" customHeight="1" x14ac:dyDescent="0.25">
      <c r="A229" s="538">
        <v>14</v>
      </c>
      <c r="B229" s="180" t="s">
        <v>29</v>
      </c>
      <c r="C229" s="181">
        <f t="shared" ref="C229:H229" si="63">C108</f>
        <v>7</v>
      </c>
      <c r="D229" s="541">
        <f t="shared" si="63"/>
        <v>1247.6199999999999</v>
      </c>
      <c r="E229" s="181">
        <f t="shared" si="63"/>
        <v>0</v>
      </c>
      <c r="F229" s="181">
        <f t="shared" si="63"/>
        <v>0</v>
      </c>
      <c r="G229" s="175">
        <f t="shared" si="63"/>
        <v>30767</v>
      </c>
      <c r="H229" s="181">
        <f t="shared" si="63"/>
        <v>0</v>
      </c>
    </row>
    <row r="230" spans="1:8" s="393" customFormat="1" ht="17.100000000000001" customHeight="1" x14ac:dyDescent="0.25">
      <c r="A230" s="210">
        <v>15</v>
      </c>
      <c r="B230" s="267" t="s">
        <v>130</v>
      </c>
      <c r="C230" s="181">
        <f t="shared" ref="C230:H230" si="64">C117</f>
        <v>15</v>
      </c>
      <c r="D230" s="541">
        <f t="shared" si="64"/>
        <v>68.860699999999994</v>
      </c>
      <c r="E230" s="175">
        <f t="shared" si="64"/>
        <v>19058</v>
      </c>
      <c r="F230" s="175">
        <f t="shared" si="64"/>
        <v>79893522</v>
      </c>
      <c r="G230" s="175">
        <f t="shared" si="64"/>
        <v>3025970</v>
      </c>
      <c r="H230" s="181">
        <f t="shared" si="64"/>
        <v>40</v>
      </c>
    </row>
    <row r="231" spans="1:8" s="393" customFormat="1" ht="17.100000000000001" customHeight="1" x14ac:dyDescent="0.25">
      <c r="A231" s="538">
        <v>16</v>
      </c>
      <c r="B231" s="267" t="s">
        <v>33</v>
      </c>
      <c r="C231" s="181">
        <f t="shared" ref="C231:H231" si="65">C124</f>
        <v>3</v>
      </c>
      <c r="D231" s="541">
        <f t="shared" si="65"/>
        <v>154</v>
      </c>
      <c r="E231" s="181">
        <f t="shared" si="65"/>
        <v>0</v>
      </c>
      <c r="F231" s="181">
        <f t="shared" si="65"/>
        <v>0</v>
      </c>
      <c r="G231" s="181">
        <f t="shared" si="65"/>
        <v>0</v>
      </c>
      <c r="H231" s="181">
        <f t="shared" si="65"/>
        <v>0</v>
      </c>
    </row>
    <row r="232" spans="1:8" s="393" customFormat="1" ht="17.100000000000001" customHeight="1" x14ac:dyDescent="0.25">
      <c r="A232" s="210">
        <v>17</v>
      </c>
      <c r="B232" s="267" t="s">
        <v>34</v>
      </c>
      <c r="C232" s="181">
        <f t="shared" ref="C232:H232" si="66">C152</f>
        <v>7</v>
      </c>
      <c r="D232" s="541">
        <f t="shared" si="66"/>
        <v>14633.74</v>
      </c>
      <c r="E232" s="175">
        <f t="shared" si="66"/>
        <v>10311607.08</v>
      </c>
      <c r="F232" s="175">
        <f t="shared" si="66"/>
        <v>22807284669</v>
      </c>
      <c r="G232" s="175">
        <f t="shared" si="66"/>
        <v>1545417363</v>
      </c>
      <c r="H232" s="181">
        <f t="shared" si="66"/>
        <v>575</v>
      </c>
    </row>
    <row r="233" spans="1:8" s="393" customFormat="1" ht="17.100000000000001" customHeight="1" x14ac:dyDescent="0.25">
      <c r="A233" s="538">
        <v>18</v>
      </c>
      <c r="B233" s="180" t="s">
        <v>35</v>
      </c>
      <c r="C233" s="181">
        <f t="shared" ref="C233:H233" si="67">C144</f>
        <v>48</v>
      </c>
      <c r="D233" s="541">
        <f t="shared" si="67"/>
        <v>22972.608400000001</v>
      </c>
      <c r="E233" s="175">
        <f t="shared" si="67"/>
        <v>102665678.31</v>
      </c>
      <c r="F233" s="175">
        <f t="shared" si="67"/>
        <v>69997966439</v>
      </c>
      <c r="G233" s="175">
        <f t="shared" si="67"/>
        <v>8432348795</v>
      </c>
      <c r="H233" s="181">
        <f t="shared" si="67"/>
        <v>4308</v>
      </c>
    </row>
    <row r="234" spans="1:8" s="393" customFormat="1" ht="17.100000000000001" customHeight="1" x14ac:dyDescent="0.25">
      <c r="A234" s="210">
        <v>19</v>
      </c>
      <c r="B234" s="180" t="s">
        <v>36</v>
      </c>
      <c r="C234" s="181">
        <f t="shared" ref="C234:H234" si="68">C159</f>
        <v>1</v>
      </c>
      <c r="D234" s="541">
        <f t="shared" si="68"/>
        <v>10</v>
      </c>
      <c r="E234" s="175">
        <f t="shared" si="68"/>
        <v>312</v>
      </c>
      <c r="F234" s="175">
        <f t="shared" si="68"/>
        <v>250000</v>
      </c>
      <c r="G234" s="175">
        <f t="shared" si="68"/>
        <v>5000</v>
      </c>
      <c r="H234" s="181">
        <f t="shared" si="68"/>
        <v>0</v>
      </c>
    </row>
    <row r="235" spans="1:8" s="393" customFormat="1" ht="17.100000000000001" customHeight="1" x14ac:dyDescent="0.25">
      <c r="A235" s="538">
        <v>20</v>
      </c>
      <c r="B235" s="180" t="s">
        <v>42</v>
      </c>
      <c r="C235" s="181">
        <f t="shared" ref="C235:H235" si="69">C165</f>
        <v>1</v>
      </c>
      <c r="D235" s="541">
        <f t="shared" si="69"/>
        <v>1370.37</v>
      </c>
      <c r="E235" s="175">
        <f t="shared" si="69"/>
        <v>1004653</v>
      </c>
      <c r="F235" s="175">
        <f t="shared" si="69"/>
        <v>2059538650</v>
      </c>
      <c r="G235" s="175">
        <f t="shared" si="69"/>
        <v>1504458298</v>
      </c>
      <c r="H235" s="181">
        <f t="shared" si="69"/>
        <v>980</v>
      </c>
    </row>
    <row r="236" spans="1:8" s="393" customFormat="1" ht="17.100000000000001" customHeight="1" x14ac:dyDescent="0.25">
      <c r="A236" s="210">
        <v>21</v>
      </c>
      <c r="B236" s="267" t="s">
        <v>43</v>
      </c>
      <c r="C236" s="181">
        <f t="shared" ref="C236:H236" si="70">C173</f>
        <v>4</v>
      </c>
      <c r="D236" s="541">
        <f t="shared" si="70"/>
        <v>625.35</v>
      </c>
      <c r="E236" s="175">
        <f t="shared" si="70"/>
        <v>19571</v>
      </c>
      <c r="F236" s="175">
        <f t="shared" si="70"/>
        <v>34687090</v>
      </c>
      <c r="G236" s="175">
        <f t="shared" si="70"/>
        <v>3407550</v>
      </c>
      <c r="H236" s="181">
        <f t="shared" si="70"/>
        <v>25</v>
      </c>
    </row>
    <row r="237" spans="1:8" s="393" customFormat="1" ht="17.100000000000001" customHeight="1" x14ac:dyDescent="0.25">
      <c r="A237" s="538">
        <v>22</v>
      </c>
      <c r="B237" s="267" t="s">
        <v>45</v>
      </c>
      <c r="C237" s="181">
        <f t="shared" ref="C237:H237" si="71">C181</f>
        <v>17</v>
      </c>
      <c r="D237" s="541">
        <f t="shared" si="71"/>
        <v>168.965</v>
      </c>
      <c r="E237" s="175">
        <f t="shared" si="71"/>
        <v>39284</v>
      </c>
      <c r="F237" s="175">
        <f t="shared" si="71"/>
        <v>29462977</v>
      </c>
      <c r="G237" s="175">
        <f t="shared" si="71"/>
        <v>3759886</v>
      </c>
      <c r="H237" s="181">
        <f t="shared" si="71"/>
        <v>74</v>
      </c>
    </row>
    <row r="238" spans="1:8" s="393" customFormat="1" ht="17.100000000000001" customHeight="1" x14ac:dyDescent="0.25">
      <c r="A238" s="210">
        <v>23</v>
      </c>
      <c r="B238" s="267" t="s">
        <v>47</v>
      </c>
      <c r="C238" s="181">
        <f t="shared" ref="C238:H238" si="72">C188</f>
        <v>2</v>
      </c>
      <c r="D238" s="541">
        <f t="shared" si="72"/>
        <v>9.3099999999999987</v>
      </c>
      <c r="E238" s="175">
        <f t="shared" si="72"/>
        <v>0</v>
      </c>
      <c r="F238" s="175">
        <f t="shared" si="72"/>
        <v>0</v>
      </c>
      <c r="G238" s="175">
        <f t="shared" si="72"/>
        <v>67620</v>
      </c>
      <c r="H238" s="181">
        <f t="shared" si="72"/>
        <v>0</v>
      </c>
    </row>
    <row r="239" spans="1:8" s="393" customFormat="1" ht="17.100000000000001" customHeight="1" x14ac:dyDescent="0.25">
      <c r="A239" s="538">
        <v>24</v>
      </c>
      <c r="B239" s="180" t="s">
        <v>48</v>
      </c>
      <c r="C239" s="181">
        <f t="shared" ref="C239:H239" si="73">C197</f>
        <v>12</v>
      </c>
      <c r="D239" s="541">
        <f t="shared" si="73"/>
        <v>253.28</v>
      </c>
      <c r="E239" s="175">
        <f t="shared" si="73"/>
        <v>104524</v>
      </c>
      <c r="F239" s="175">
        <f t="shared" si="73"/>
        <v>149056941</v>
      </c>
      <c r="G239" s="175">
        <f t="shared" si="73"/>
        <v>10406280</v>
      </c>
      <c r="H239" s="181">
        <f t="shared" si="73"/>
        <v>16</v>
      </c>
    </row>
    <row r="240" spans="1:8" s="393" customFormat="1" ht="17.100000000000001" customHeight="1" x14ac:dyDescent="0.25">
      <c r="A240" s="538"/>
      <c r="B240" s="180" t="s">
        <v>458</v>
      </c>
      <c r="C240" s="181"/>
      <c r="D240" s="541"/>
      <c r="E240" s="175"/>
      <c r="F240" s="175"/>
      <c r="G240" s="175">
        <f>G206</f>
        <v>0</v>
      </c>
      <c r="H240" s="181"/>
    </row>
    <row r="241" spans="1:15" s="393" customFormat="1" ht="17.100000000000001" customHeight="1" x14ac:dyDescent="0.25">
      <c r="A241" s="543"/>
      <c r="B241" s="263" t="s">
        <v>50</v>
      </c>
      <c r="C241" s="264">
        <f>SUM(C216:C240)</f>
        <v>148</v>
      </c>
      <c r="D241" s="264">
        <f t="shared" ref="D241:H241" si="74">SUM(D216:D240)</f>
        <v>51961.019599999992</v>
      </c>
      <c r="E241" s="264">
        <f t="shared" si="74"/>
        <v>121813437.605</v>
      </c>
      <c r="F241" s="681">
        <f t="shared" si="74"/>
        <v>214453236305</v>
      </c>
      <c r="G241" s="264">
        <f t="shared" si="74"/>
        <v>39455737872</v>
      </c>
      <c r="H241" s="264">
        <f t="shared" si="74"/>
        <v>38037</v>
      </c>
      <c r="J241" s="393">
        <f>'Major Minerals'!C250</f>
        <v>148</v>
      </c>
      <c r="K241" s="644">
        <f>'Major Minerals'!D250</f>
        <v>51961.019599999992</v>
      </c>
      <c r="L241" s="393">
        <f>'Major Minerals'!E250</f>
        <v>121813437.605</v>
      </c>
      <c r="M241" s="393">
        <f>'Major Minerals'!F250</f>
        <v>214452479483</v>
      </c>
      <c r="N241" s="393">
        <f>'Major Minerals'!G250</f>
        <v>39455737872</v>
      </c>
      <c r="O241" s="393">
        <f>'Major Minerals'!H250</f>
        <v>38037</v>
      </c>
    </row>
    <row r="242" spans="1:15" x14ac:dyDescent="0.25">
      <c r="J242" s="123">
        <f>C241-J241</f>
        <v>0</v>
      </c>
      <c r="K242" s="129">
        <f>D241-K241</f>
        <v>0</v>
      </c>
      <c r="L242" s="123">
        <f t="shared" ref="L242:N242" si="75">E241-L241</f>
        <v>0</v>
      </c>
      <c r="M242" s="129">
        <f t="shared" si="75"/>
        <v>756822</v>
      </c>
      <c r="N242" s="123">
        <f t="shared" si="75"/>
        <v>0</v>
      </c>
      <c r="O242" s="123">
        <f>H241-O241</f>
        <v>0</v>
      </c>
    </row>
    <row r="243" spans="1:15" x14ac:dyDescent="0.25">
      <c r="B243" s="148" t="s">
        <v>279</v>
      </c>
      <c r="C243" s="123">
        <f>'Office Major'!C271</f>
        <v>148</v>
      </c>
      <c r="D243" s="123">
        <f>'Office Major'!D271</f>
        <v>51961.0196</v>
      </c>
      <c r="E243" s="123">
        <f>'Office Major'!E271</f>
        <v>121813437.605</v>
      </c>
      <c r="F243" s="129">
        <f>'Office Major'!F271</f>
        <v>214452479483</v>
      </c>
      <c r="G243" s="123">
        <f>'Office Major'!G271</f>
        <v>39455737872</v>
      </c>
      <c r="H243" s="123">
        <f>'Office Major'!H271</f>
        <v>38037</v>
      </c>
    </row>
    <row r="244" spans="1:15" x14ac:dyDescent="0.25">
      <c r="B244" s="148"/>
      <c r="F244" s="129"/>
    </row>
    <row r="245" spans="1:15" x14ac:dyDescent="0.25">
      <c r="B245" s="148" t="s">
        <v>414</v>
      </c>
      <c r="C245" s="123">
        <f>'Major Minerals'!C250</f>
        <v>148</v>
      </c>
      <c r="D245" s="123">
        <f>'Major Minerals'!D250</f>
        <v>51961.019599999992</v>
      </c>
      <c r="E245" s="123">
        <f>'Major Minerals'!E250</f>
        <v>121813437.605</v>
      </c>
      <c r="F245" s="129">
        <f>'Major Minerals'!F250</f>
        <v>214452479483</v>
      </c>
      <c r="G245" s="123">
        <f>'Major Minerals'!G250</f>
        <v>39455737872</v>
      </c>
      <c r="H245" s="123">
        <f>'Major Minerals'!H250</f>
        <v>38037</v>
      </c>
    </row>
    <row r="247" spans="1:15" x14ac:dyDescent="0.25">
      <c r="B247" s="148" t="s">
        <v>413</v>
      </c>
      <c r="C247" s="128">
        <f>Distt.Major!C223</f>
        <v>148</v>
      </c>
      <c r="D247" s="128">
        <f>Distt.Major!D223</f>
        <v>51961.0196</v>
      </c>
      <c r="E247" s="128">
        <f>Distt.Major!E223</f>
        <v>121813437.60499999</v>
      </c>
      <c r="F247" s="128">
        <f>Distt.Major!F223</f>
        <v>214452479483</v>
      </c>
      <c r="G247" s="128">
        <f>Distt.Major!G223</f>
        <v>39455737872</v>
      </c>
      <c r="H247" s="128">
        <f>Distt.Major!H223</f>
        <v>38037</v>
      </c>
    </row>
    <row r="249" spans="1:15" x14ac:dyDescent="0.25">
      <c r="B249" s="148"/>
      <c r="C249" s="534">
        <f>C247-C245</f>
        <v>0</v>
      </c>
      <c r="D249" s="534">
        <f>D247-D245</f>
        <v>0</v>
      </c>
      <c r="E249" s="534">
        <f t="shared" ref="E249:G249" si="76">E247-E245</f>
        <v>0</v>
      </c>
      <c r="F249" s="534">
        <f t="shared" si="76"/>
        <v>0</v>
      </c>
      <c r="G249" s="534">
        <f t="shared" si="76"/>
        <v>0</v>
      </c>
      <c r="H249" s="534">
        <f>H247-H245</f>
        <v>0</v>
      </c>
    </row>
  </sheetData>
  <mergeCells count="108">
    <mergeCell ref="A5:H5"/>
    <mergeCell ref="A7:A8"/>
    <mergeCell ref="B7:B8"/>
    <mergeCell ref="A10:B10"/>
    <mergeCell ref="A176:A177"/>
    <mergeCell ref="B176:B177"/>
    <mergeCell ref="A152:B152"/>
    <mergeCell ref="A154:H154"/>
    <mergeCell ref="A155:A156"/>
    <mergeCell ref="A173:B173"/>
    <mergeCell ref="A168:A169"/>
    <mergeCell ref="B168:B169"/>
    <mergeCell ref="B120:B121"/>
    <mergeCell ref="A162:A163"/>
    <mergeCell ref="B162:B163"/>
    <mergeCell ref="A165:B165"/>
    <mergeCell ref="D167:E167"/>
    <mergeCell ref="D175:E175"/>
    <mergeCell ref="A81:H81"/>
    <mergeCell ref="A82:A83"/>
    <mergeCell ref="B82:B83"/>
    <mergeCell ref="A86:B86"/>
    <mergeCell ref="A124:B124"/>
    <mergeCell ref="D161:E161"/>
    <mergeCell ref="A212:H212"/>
    <mergeCell ref="A214:A215"/>
    <mergeCell ref="B214:B215"/>
    <mergeCell ref="A197:B197"/>
    <mergeCell ref="A210:H210"/>
    <mergeCell ref="A181:B181"/>
    <mergeCell ref="A200:H200"/>
    <mergeCell ref="A201:A202"/>
    <mergeCell ref="B201:B202"/>
    <mergeCell ref="A206:B206"/>
    <mergeCell ref="A211:H211"/>
    <mergeCell ref="A184:A185"/>
    <mergeCell ref="B184:B185"/>
    <mergeCell ref="A188:B188"/>
    <mergeCell ref="D190:E190"/>
    <mergeCell ref="A191:A192"/>
    <mergeCell ref="B191:B192"/>
    <mergeCell ref="D183:E183"/>
    <mergeCell ref="B155:B156"/>
    <mergeCell ref="A159:B159"/>
    <mergeCell ref="A127:A128"/>
    <mergeCell ref="B127:B128"/>
    <mergeCell ref="A144:B144"/>
    <mergeCell ref="A146:H146"/>
    <mergeCell ref="A147:A148"/>
    <mergeCell ref="B147:B148"/>
    <mergeCell ref="A126:H126"/>
    <mergeCell ref="A103:A104"/>
    <mergeCell ref="B103:B104"/>
    <mergeCell ref="A108:B108"/>
    <mergeCell ref="A110:H110"/>
    <mergeCell ref="A111:A112"/>
    <mergeCell ref="B111:B112"/>
    <mergeCell ref="A117:B117"/>
    <mergeCell ref="A119:H119"/>
    <mergeCell ref="A120:A121"/>
    <mergeCell ref="A26:A27"/>
    <mergeCell ref="B26:B27"/>
    <mergeCell ref="A19:H19"/>
    <mergeCell ref="A20:A21"/>
    <mergeCell ref="D102:E102"/>
    <mergeCell ref="A95:A96"/>
    <mergeCell ref="B95:B96"/>
    <mergeCell ref="A100:B100"/>
    <mergeCell ref="D94:E94"/>
    <mergeCell ref="A54:A55"/>
    <mergeCell ref="B54:B55"/>
    <mergeCell ref="A61:B61"/>
    <mergeCell ref="A63:H63"/>
    <mergeCell ref="A64:A65"/>
    <mergeCell ref="B64:B65"/>
    <mergeCell ref="A71:B71"/>
    <mergeCell ref="A88:H88"/>
    <mergeCell ref="A89:A90"/>
    <mergeCell ref="B89:B90"/>
    <mergeCell ref="A92:B92"/>
    <mergeCell ref="A73:H73"/>
    <mergeCell ref="A75:A76"/>
    <mergeCell ref="B75:B76"/>
    <mergeCell ref="A79:B79"/>
    <mergeCell ref="A53:H53"/>
    <mergeCell ref="A44:B44"/>
    <mergeCell ref="A46:H46"/>
    <mergeCell ref="A47:A48"/>
    <mergeCell ref="B47:B48"/>
    <mergeCell ref="A51:B51"/>
    <mergeCell ref="A1:H1"/>
    <mergeCell ref="A2:H2"/>
    <mergeCell ref="A3:H3"/>
    <mergeCell ref="A38:H38"/>
    <mergeCell ref="A39:A40"/>
    <mergeCell ref="B39:B40"/>
    <mergeCell ref="A32:H32"/>
    <mergeCell ref="A33:A34"/>
    <mergeCell ref="B33:B34"/>
    <mergeCell ref="A36:B36"/>
    <mergeCell ref="A12:H12"/>
    <mergeCell ref="A14:A15"/>
    <mergeCell ref="B14:B15"/>
    <mergeCell ref="A17:B17"/>
    <mergeCell ref="A29:B29"/>
    <mergeCell ref="A25:H25"/>
    <mergeCell ref="B20:B21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Major Front</vt:lpstr>
      <vt:lpstr>Minor Front</vt:lpstr>
      <vt:lpstr>Major Minerals</vt:lpstr>
      <vt:lpstr>Minor Minerals</vt:lpstr>
      <vt:lpstr>Office Major</vt:lpstr>
      <vt:lpstr>Office Minor</vt:lpstr>
      <vt:lpstr>Distt.Major</vt:lpstr>
      <vt:lpstr>Distt.Minor</vt:lpstr>
      <vt:lpstr>Distt. Major Minerals</vt:lpstr>
      <vt:lpstr>Distt. Minor Minerals</vt:lpstr>
      <vt:lpstr>Categorywise</vt:lpstr>
      <vt:lpstr>Cerclewise  ML QL</vt:lpstr>
      <vt:lpstr>Distt. Lease</vt:lpstr>
      <vt:lpstr>Revenue Major Minor</vt:lpstr>
      <vt:lpstr>QL</vt:lpstr>
      <vt:lpstr>8A</vt:lpstr>
      <vt:lpstr>ML QL STP WO</vt:lpstr>
      <vt:lpstr>Sheet1</vt:lpstr>
      <vt:lpstr>Sheet2</vt:lpstr>
      <vt:lpstr>Sheet3</vt:lpstr>
      <vt:lpstr>Sheet4</vt:lpstr>
      <vt:lpstr>'Cerclewise  ML QL'!Print_Area</vt:lpstr>
      <vt:lpstr>'Distt. Minor Minerals'!Print_Area</vt:lpstr>
      <vt:lpstr>Distt.Major!Print_Area</vt:lpstr>
      <vt:lpstr>Distt.Minor!Print_Area</vt:lpstr>
      <vt:lpstr>'Major Front'!Print_Area</vt:lpstr>
      <vt:lpstr>'Major Minerals'!Print_Area</vt:lpstr>
      <vt:lpstr>'Minor Front'!Print_Area</vt:lpstr>
      <vt:lpstr>'Minor Minerals'!Print_Area</vt:lpstr>
      <vt:lpstr>'Office Major'!Print_Area</vt:lpstr>
      <vt:lpstr>'Office Minor'!Print_Area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2026-08-31T12:02:14Z</dcterms:modified>
</cp:coreProperties>
</file>